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omments3.xml" ContentType="application/vnd.openxmlformats-officedocument.spreadsheetml.comment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charts/chart11.xml" ContentType="application/vnd.openxmlformats-officedocument.drawingml.chart+xml"/>
  <Override PartName="/xl/drawings/drawing14.xml" ContentType="application/vnd.openxmlformats-officedocument.drawingml.chartshapes+xml"/>
  <Override PartName="/xl/charts/chart12.xml" ContentType="application/vnd.openxmlformats-officedocument.drawingml.chart+xml"/>
  <Override PartName="/xl/drawings/drawing15.xml" ContentType="application/vnd.openxmlformats-officedocument.drawingml.chartshapes+xml"/>
  <Override PartName="/xl/charts/chart13.xml" ContentType="application/vnd.openxmlformats-officedocument.drawingml.chart+xml"/>
  <Override PartName="/xl/drawings/drawing16.xml" ContentType="application/vnd.openxmlformats-officedocument.drawingml.chartshapes+xml"/>
  <Override PartName="/xl/charts/chart14.xml" ContentType="application/vnd.openxmlformats-officedocument.drawingml.chart+xml"/>
  <Override PartName="/xl/drawings/drawing17.xml" ContentType="application/vnd.openxmlformats-officedocument.drawingml.chartshapes+xml"/>
  <Override PartName="/xl/charts/chart15.xml" ContentType="application/vnd.openxmlformats-officedocument.drawingml.chart+xml"/>
  <Override PartName="/xl/drawings/drawing18.xml" ContentType="application/vnd.openxmlformats-officedocument.drawingml.chartshapes+xml"/>
  <Override PartName="/xl/charts/chart16.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omments4.xml" ContentType="application/vnd.openxmlformats-officedocument.spreadsheetml.comments+xml"/>
  <Override PartName="/xl/charts/chart17.xml" ContentType="application/vnd.openxmlformats-officedocument.drawingml.chart+xml"/>
  <Override PartName="/xl/charts/chart18.xml" ContentType="application/vnd.openxmlformats-officedocument.drawingml.chart+xml"/>
  <Override PartName="/xl/drawings/drawing21.xml" ContentType="application/vnd.openxmlformats-officedocument.drawing+xml"/>
  <Override PartName="/xl/comments5.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440" windowHeight="5490" tabRatio="736"/>
  </bookViews>
  <sheets>
    <sheet name="INDEX-SUMMARY" sheetId="9" r:id="rId1"/>
    <sheet name="FINAL BIPT &amp; Cullen 2014" sheetId="8" r:id="rId2"/>
    <sheet name="Vs. Consultation Version " sheetId="16" r:id="rId3"/>
    <sheet name="TO MS WORD" sheetId="12" r:id="rId4"/>
    <sheet name="(Cullen 2010 Fixed)" sheetId="7" r:id="rId5"/>
    <sheet name="(Cullen 2010 Mobile)" sheetId="4" r:id="rId6"/>
    <sheet name="Feuil2" sheetId="2" state="hidden" r:id="rId7"/>
  </sheets>
  <externalReferences>
    <externalReference r:id="rId8"/>
  </externalReferences>
  <definedNames>
    <definedName name="Blp_Fields" localSheetId="2">#REF!</definedName>
    <definedName name="Blp_Fields">#REF!</definedName>
    <definedName name="BLPB_Facteurs_de_dette" localSheetId="2">#REF!</definedName>
    <definedName name="BLPB_Facteurs_de_dette">#REF!</definedName>
    <definedName name="BLPB_Valeur_Entrep_VE" localSheetId="2">#REF!</definedName>
    <definedName name="BLPB_Valeur_Entrep_VE">#REF!</definedName>
    <definedName name="HTML_CodePage" hidden="1">1252</definedName>
    <definedName name="HTML_Control" hidden="1">{"'Sheet1'!$A$1:$O$40"}</definedName>
    <definedName name="HTML_Description" hidden="1">""</definedName>
    <definedName name="HTML_Email" hidden="1">""</definedName>
    <definedName name="HTML_Header" hidden="1">"Sheet1"</definedName>
    <definedName name="HTML_LastUpdate" hidden="1">"2/5/99"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HD:HomePageStuff:pc:datasets:implprem.html"</definedName>
    <definedName name="HTML_Title" hidden="1">"S&amp;P Implied Equity Premiums"</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"RiskPremiumUS"</definedName>
    <definedName name="HTML1_4" hidden="1">"Implied Risk Premiums for US"</definedName>
    <definedName name="HTML1_5" hidden="1">""</definedName>
    <definedName name="HTML1_6" hidden="1">-4146</definedName>
    <definedName name="HTML1_7" hidden="1">-4146</definedName>
    <definedName name="HTML1_8" hidden="1">"3/19/97"</definedName>
    <definedName name="HTML1_9" hidden="1">"Aswath Damodaran"</definedName>
    <definedName name="HTMLCount" hidden="1">1</definedName>
  </definedNames>
  <calcPr calcId="145621"/>
</workbook>
</file>

<file path=xl/calcChain.xml><?xml version="1.0" encoding="utf-8"?>
<calcChain xmlns="http://schemas.openxmlformats.org/spreadsheetml/2006/main">
  <c r="AT63" i="8" l="1"/>
  <c r="AS63" i="8"/>
  <c r="Y69" i="8" l="1"/>
  <c r="Y70" i="8"/>
  <c r="Y68" i="8"/>
  <c r="X69" i="8"/>
  <c r="Z69" i="8" s="1"/>
  <c r="V69" i="8"/>
  <c r="U70" i="8"/>
  <c r="V70" i="8" s="1"/>
  <c r="U69" i="8"/>
  <c r="U68" i="8"/>
  <c r="V68" i="8" s="1"/>
  <c r="X68" i="8" s="1"/>
  <c r="Z68" i="8" s="1"/>
  <c r="W69" i="8"/>
  <c r="W70" i="8"/>
  <c r="X70" i="8" s="1"/>
  <c r="W68" i="8"/>
  <c r="R16" i="12"/>
  <c r="Q16" i="12"/>
  <c r="P16" i="12"/>
  <c r="N16" i="12"/>
  <c r="S16" i="12"/>
  <c r="S14" i="12"/>
  <c r="N15" i="12"/>
  <c r="Q15" i="12"/>
  <c r="R15" i="12"/>
  <c r="P15" i="12"/>
  <c r="N14" i="12"/>
  <c r="Q14" i="12"/>
  <c r="R14" i="12"/>
  <c r="P14" i="12"/>
  <c r="Y22" i="8" l="1"/>
  <c r="X22" i="8"/>
  <c r="U22" i="8"/>
  <c r="W22" i="8"/>
  <c r="Z70" i="8"/>
  <c r="V22" i="8" s="1"/>
  <c r="F370" i="12"/>
  <c r="F362" i="12"/>
  <c r="D362" i="12"/>
  <c r="D361" i="12"/>
  <c r="AD10" i="16"/>
  <c r="E362" i="12"/>
  <c r="C362" i="12"/>
  <c r="C361" i="12"/>
  <c r="J98" i="12"/>
  <c r="F98" i="12"/>
  <c r="C98" i="12"/>
  <c r="C97" i="12"/>
  <c r="F360" i="12" l="1"/>
  <c r="V8" i="8"/>
  <c r="W8" i="8"/>
  <c r="X8" i="8"/>
  <c r="Y8" i="8"/>
  <c r="U8" i="8"/>
  <c r="C26" i="12" l="1"/>
  <c r="F26" i="12" l="1"/>
  <c r="M17" i="4"/>
  <c r="M16" i="4"/>
  <c r="D26" i="12" s="1"/>
  <c r="O20" i="7"/>
  <c r="P19" i="7"/>
  <c r="BS63" i="8"/>
  <c r="BR63" i="8" s="1"/>
  <c r="CG63" i="8" s="1"/>
  <c r="BQ62" i="8"/>
  <c r="BQ68" i="8"/>
  <c r="BQ69" i="8"/>
  <c r="BQ64" i="8"/>
  <c r="BQ59" i="8"/>
  <c r="BQ57" i="8"/>
  <c r="BQ72" i="8"/>
  <c r="BQ63" i="8"/>
  <c r="BT66" i="8" l="1"/>
  <c r="BB61" i="8" l="1"/>
  <c r="AA2" i="16" l="1"/>
  <c r="O34" i="16" l="1"/>
  <c r="N34" i="16"/>
  <c r="M34" i="16"/>
  <c r="R34" i="16"/>
  <c r="Q34" i="16"/>
  <c r="P34" i="16"/>
  <c r="L34" i="16"/>
  <c r="K34" i="16"/>
  <c r="J34" i="16"/>
  <c r="I34" i="16"/>
  <c r="H34" i="16"/>
  <c r="G34" i="16"/>
  <c r="B9" i="4"/>
  <c r="F103" i="16" l="1"/>
  <c r="O103" i="16"/>
  <c r="H104" i="16"/>
  <c r="M104" i="16"/>
  <c r="H106" i="16"/>
  <c r="J106" i="16"/>
  <c r="K109" i="16"/>
  <c r="I111" i="16"/>
  <c r="G102" i="12"/>
  <c r="H112" i="16" l="1"/>
  <c r="L108" i="16"/>
  <c r="K105" i="16"/>
  <c r="G105" i="16"/>
  <c r="E111" i="16"/>
  <c r="G109" i="16"/>
  <c r="F106" i="16"/>
  <c r="P104" i="16"/>
  <c r="Q103" i="16"/>
  <c r="E103" i="16"/>
  <c r="L112" i="16"/>
  <c r="J110" i="16"/>
  <c r="F110" i="16"/>
  <c r="I107" i="16"/>
  <c r="E107" i="16"/>
  <c r="L104" i="16"/>
  <c r="L111" i="16"/>
  <c r="O104" i="16"/>
  <c r="I110" i="16"/>
  <c r="H107" i="16"/>
  <c r="F109" i="16"/>
  <c r="J105" i="16"/>
  <c r="L103" i="16"/>
  <c r="F105" i="16"/>
  <c r="J109" i="16"/>
  <c r="E105" i="16"/>
  <c r="H103" i="16"/>
  <c r="M103" i="16"/>
  <c r="I106" i="16"/>
  <c r="H111" i="16"/>
  <c r="I103" i="16"/>
  <c r="E113" i="16"/>
  <c r="E112" i="16"/>
  <c r="J111" i="16"/>
  <c r="G110" i="16"/>
  <c r="I108" i="16"/>
  <c r="F107" i="16"/>
  <c r="J102" i="16"/>
  <c r="H110" i="16"/>
  <c r="E109" i="16"/>
  <c r="I105" i="16"/>
  <c r="H113" i="16"/>
  <c r="N102" i="16"/>
  <c r="E104" i="16"/>
  <c r="J113" i="16"/>
  <c r="F112" i="16"/>
  <c r="K111" i="16"/>
  <c r="J108" i="16"/>
  <c r="G107" i="16"/>
  <c r="L106" i="16"/>
  <c r="N104" i="16"/>
  <c r="F104" i="16"/>
  <c r="K103" i="16"/>
  <c r="L109" i="16"/>
  <c r="K113" i="16"/>
  <c r="P102" i="16"/>
  <c r="H102" i="16"/>
  <c r="G112" i="16"/>
  <c r="K108" i="16"/>
  <c r="Q102" i="16"/>
  <c r="I102" i="16"/>
  <c r="I112" i="16"/>
  <c r="F111" i="16"/>
  <c r="K110" i="16"/>
  <c r="H109" i="16"/>
  <c r="E108" i="16"/>
  <c r="J107" i="16"/>
  <c r="G106" i="16"/>
  <c r="L105" i="16"/>
  <c r="Q104" i="16"/>
  <c r="I104" i="16"/>
  <c r="N103" i="16"/>
  <c r="K106" i="16"/>
  <c r="F102" i="16"/>
  <c r="F113" i="16"/>
  <c r="H108" i="16"/>
  <c r="J112" i="16"/>
  <c r="G111" i="16"/>
  <c r="L110" i="16"/>
  <c r="I109" i="16"/>
  <c r="F108" i="16"/>
  <c r="K107" i="16"/>
  <c r="J104" i="16"/>
  <c r="J103" i="16"/>
  <c r="I113" i="16"/>
  <c r="G113" i="16"/>
  <c r="L102" i="16"/>
  <c r="K112" i="16"/>
  <c r="G108" i="16"/>
  <c r="K104" i="16"/>
  <c r="M102" i="16"/>
  <c r="L113" i="16"/>
  <c r="H105" i="16"/>
  <c r="E106" i="16"/>
  <c r="G104" i="16"/>
  <c r="E102" i="16"/>
  <c r="K102" i="16"/>
  <c r="G103" i="16"/>
  <c r="E110" i="16"/>
  <c r="L107" i="16"/>
  <c r="P103" i="16"/>
  <c r="O102" i="16"/>
  <c r="G102" i="16"/>
  <c r="U32" i="16"/>
  <c r="Y31" i="16"/>
  <c r="Y32" i="16" s="1"/>
  <c r="X31" i="16"/>
  <c r="X32" i="16" s="1"/>
  <c r="W31" i="16"/>
  <c r="W32" i="16" s="1"/>
  <c r="V31" i="16"/>
  <c r="V32" i="16" s="1"/>
  <c r="U17" i="16"/>
  <c r="Y12" i="16"/>
  <c r="Y23" i="16" s="1"/>
  <c r="X12" i="16"/>
  <c r="X23" i="16" s="1"/>
  <c r="W12" i="16"/>
  <c r="W23" i="16" s="1"/>
  <c r="V12" i="16"/>
  <c r="V23" i="16" s="1"/>
  <c r="U12" i="16"/>
  <c r="U23" i="16" s="1"/>
  <c r="Y7" i="16"/>
  <c r="X7" i="16"/>
  <c r="W7" i="16"/>
  <c r="V7" i="16"/>
  <c r="U6" i="16"/>
  <c r="Y5" i="16"/>
  <c r="X5" i="16"/>
  <c r="W5" i="16"/>
  <c r="V5" i="16"/>
  <c r="Y3" i="16"/>
  <c r="X3" i="16"/>
  <c r="X6" i="16" s="1"/>
  <c r="W3" i="16"/>
  <c r="W17" i="16" s="1"/>
  <c r="V3" i="16"/>
  <c r="V17" i="16" s="1"/>
  <c r="Y25" i="16" l="1"/>
  <c r="W6" i="16"/>
  <c r="Y20" i="16"/>
  <c r="V6" i="16"/>
  <c r="Y6" i="16"/>
  <c r="X20" i="16"/>
  <c r="W20" i="16"/>
  <c r="W25" i="16"/>
  <c r="W28" i="16" s="1"/>
  <c r="V20" i="16"/>
  <c r="V25" i="16"/>
  <c r="V28" i="16" s="1"/>
  <c r="U20" i="16"/>
  <c r="U25" i="16"/>
  <c r="U28" i="16" s="1"/>
  <c r="X25" i="16"/>
  <c r="Y17" i="16"/>
  <c r="X17" i="16"/>
  <c r="Y41" i="8"/>
  <c r="Y28" i="16" l="1"/>
  <c r="Y29" i="16" s="1"/>
  <c r="X28" i="16"/>
  <c r="AA10" i="16"/>
  <c r="AI2" i="8"/>
  <c r="AC2" i="16"/>
  <c r="AB2" i="16"/>
  <c r="C74" i="16" l="1"/>
  <c r="C72" i="16"/>
  <c r="C71" i="16"/>
  <c r="C70" i="16"/>
  <c r="C68" i="16"/>
  <c r="Z62" i="16"/>
  <c r="W62" i="16"/>
  <c r="Z61" i="16"/>
  <c r="W61" i="16"/>
  <c r="Z60" i="16"/>
  <c r="W60" i="16"/>
  <c r="Z58" i="16"/>
  <c r="W58" i="16"/>
  <c r="R35" i="16"/>
  <c r="Q35" i="16"/>
  <c r="N35" i="16"/>
  <c r="M35" i="16"/>
  <c r="L35" i="16"/>
  <c r="K35" i="16"/>
  <c r="I35" i="16"/>
  <c r="H35" i="16"/>
  <c r="F34" i="16"/>
  <c r="E34" i="16"/>
  <c r="E35" i="16" s="1"/>
  <c r="D34" i="16"/>
  <c r="J31" i="16"/>
  <c r="S24" i="16"/>
  <c r="S20" i="16"/>
  <c r="P16" i="16"/>
  <c r="J16" i="16"/>
  <c r="D372" i="12" s="1"/>
  <c r="AG10" i="16"/>
  <c r="S10" i="16"/>
  <c r="P8" i="16"/>
  <c r="J8" i="16"/>
  <c r="D8" i="16"/>
  <c r="R7" i="16"/>
  <c r="Q7" i="16"/>
  <c r="P7" i="16"/>
  <c r="F361" i="12" s="1"/>
  <c r="O7" i="16"/>
  <c r="N7" i="16"/>
  <c r="M7" i="16"/>
  <c r="L7" i="16"/>
  <c r="K7" i="16"/>
  <c r="I7" i="16"/>
  <c r="H7" i="16"/>
  <c r="G7" i="16"/>
  <c r="F7" i="16"/>
  <c r="E7" i="16"/>
  <c r="D7" i="16"/>
  <c r="J5" i="16"/>
  <c r="D364" i="12" s="1"/>
  <c r="P4" i="16"/>
  <c r="J4" i="16"/>
  <c r="D365" i="12" s="1"/>
  <c r="D4" i="16"/>
  <c r="AG4" i="16" s="1"/>
  <c r="P3" i="16"/>
  <c r="J3" i="16"/>
  <c r="D3" i="16"/>
  <c r="AG3" i="16" s="1"/>
  <c r="AI2" i="16"/>
  <c r="AH2" i="16"/>
  <c r="AG2" i="16"/>
  <c r="R2" i="16"/>
  <c r="R8" i="16" s="1"/>
  <c r="Q2" i="16"/>
  <c r="Q8" i="16" s="1"/>
  <c r="M2" i="16"/>
  <c r="L2" i="16"/>
  <c r="L4" i="16" s="1"/>
  <c r="K2" i="16"/>
  <c r="K4" i="16" s="1"/>
  <c r="G2" i="16"/>
  <c r="F2" i="16"/>
  <c r="E2" i="16"/>
  <c r="E8" i="16" s="1"/>
  <c r="D363" i="12" l="1"/>
  <c r="D366" i="12"/>
  <c r="AI4" i="16"/>
  <c r="F365" i="12"/>
  <c r="AI16" i="16"/>
  <c r="F372" i="12"/>
  <c r="AI3" i="16"/>
  <c r="F363" i="12"/>
  <c r="F366" i="12"/>
  <c r="F3" i="16"/>
  <c r="F35" i="16"/>
  <c r="AH4" i="16"/>
  <c r="R31" i="16"/>
  <c r="M14" i="16"/>
  <c r="M18" i="16" s="1"/>
  <c r="J14" i="16"/>
  <c r="D14" i="16"/>
  <c r="D18" i="16" s="1"/>
  <c r="AG14" i="16" s="1"/>
  <c r="K16" i="16"/>
  <c r="N14" i="16"/>
  <c r="N18" i="16" s="1"/>
  <c r="M11" i="16"/>
  <c r="P11" i="16"/>
  <c r="F368" i="12" s="1"/>
  <c r="G11" i="16"/>
  <c r="J11" i="16"/>
  <c r="D368" i="12" s="1"/>
  <c r="D11" i="16"/>
  <c r="AH5" i="16"/>
  <c r="H31" i="16"/>
  <c r="AH3" i="16"/>
  <c r="W63" i="16"/>
  <c r="P18" i="16"/>
  <c r="N2" i="16"/>
  <c r="N8" i="16" s="1"/>
  <c r="M31" i="16"/>
  <c r="M4" i="16"/>
  <c r="AJ4" i="16" s="1"/>
  <c r="L31" i="16"/>
  <c r="D35" i="16"/>
  <c r="Z63" i="16"/>
  <c r="J35" i="16"/>
  <c r="D373" i="12" s="1"/>
  <c r="D374" i="12" s="1"/>
  <c r="G31" i="16"/>
  <c r="E31" i="16"/>
  <c r="AH31" i="16"/>
  <c r="D31" i="16"/>
  <c r="P31" i="16"/>
  <c r="B21" i="16"/>
  <c r="G3" i="16"/>
  <c r="L5" i="16"/>
  <c r="I5" i="16" s="1"/>
  <c r="M16" i="16"/>
  <c r="G35" i="16"/>
  <c r="O35" i="16"/>
  <c r="O31" i="16"/>
  <c r="E4" i="16"/>
  <c r="J6" i="16"/>
  <c r="D16" i="16"/>
  <c r="E3" i="16"/>
  <c r="K8" i="16"/>
  <c r="G16" i="16"/>
  <c r="AJ2" i="16"/>
  <c r="M3" i="16"/>
  <c r="AJ3" i="16" s="1"/>
  <c r="R4" i="16"/>
  <c r="K5" i="16"/>
  <c r="O11" i="16"/>
  <c r="L16" i="16"/>
  <c r="AH16" i="16"/>
  <c r="D20" i="16"/>
  <c r="L20" i="16"/>
  <c r="I31" i="16"/>
  <c r="Q31" i="16"/>
  <c r="P35" i="16"/>
  <c r="F373" i="12" s="1"/>
  <c r="F374" i="12" s="1"/>
  <c r="L3" i="16"/>
  <c r="G8" i="16"/>
  <c r="F11" i="16"/>
  <c r="N11" i="16"/>
  <c r="L14" i="16"/>
  <c r="L18" i="16" s="1"/>
  <c r="K20" i="16"/>
  <c r="K3" i="16"/>
  <c r="F8" i="16"/>
  <c r="E11" i="16"/>
  <c r="K14" i="16"/>
  <c r="K18" i="16" s="1"/>
  <c r="R16" i="16"/>
  <c r="J20" i="16"/>
  <c r="D375" i="12" s="1"/>
  <c r="R20" i="16"/>
  <c r="Q4" i="16"/>
  <c r="I2" i="16"/>
  <c r="R3" i="16"/>
  <c r="G4" i="16"/>
  <c r="P5" i="16"/>
  <c r="M8" i="16"/>
  <c r="L11" i="16"/>
  <c r="I14" i="16"/>
  <c r="I18" i="16" s="1"/>
  <c r="Q16" i="16"/>
  <c r="I20" i="16"/>
  <c r="Q20" i="16"/>
  <c r="F31" i="16"/>
  <c r="N31" i="16"/>
  <c r="H2" i="16"/>
  <c r="Q3" i="16"/>
  <c r="F4" i="16"/>
  <c r="G5" i="16"/>
  <c r="L8" i="16"/>
  <c r="K11" i="16"/>
  <c r="H14" i="16"/>
  <c r="H18" i="16" s="1"/>
  <c r="R14" i="16"/>
  <c r="R18" i="16" s="1"/>
  <c r="H20" i="16"/>
  <c r="P20" i="16"/>
  <c r="F375" i="12" s="1"/>
  <c r="R11" i="16"/>
  <c r="G14" i="16"/>
  <c r="G18" i="16" s="1"/>
  <c r="G20" i="16"/>
  <c r="O20" i="16"/>
  <c r="Q14" i="16"/>
  <c r="Q18" i="16" s="1"/>
  <c r="O2" i="16"/>
  <c r="M5" i="16"/>
  <c r="AJ5" i="16" s="1"/>
  <c r="I11" i="16"/>
  <c r="Q11" i="16"/>
  <c r="F14" i="16"/>
  <c r="F18" i="16" s="1"/>
  <c r="O14" i="16"/>
  <c r="O18" i="16" s="1"/>
  <c r="F20" i="16"/>
  <c r="N20" i="16"/>
  <c r="K31" i="16"/>
  <c r="AI31" i="16" s="1"/>
  <c r="D5" i="16"/>
  <c r="AG5" i="16" s="1"/>
  <c r="H11" i="16"/>
  <c r="E14" i="16"/>
  <c r="E18" i="16" s="1"/>
  <c r="E20" i="16"/>
  <c r="M20" i="16"/>
  <c r="E105" i="8"/>
  <c r="F105" i="8"/>
  <c r="G105" i="8"/>
  <c r="H105" i="8"/>
  <c r="I105" i="8"/>
  <c r="J105" i="8"/>
  <c r="K105" i="8"/>
  <c r="L105" i="8"/>
  <c r="E106" i="8"/>
  <c r="F106" i="8"/>
  <c r="G106" i="8"/>
  <c r="H106" i="8"/>
  <c r="I106" i="8"/>
  <c r="J106" i="8"/>
  <c r="K106" i="8"/>
  <c r="L106" i="8"/>
  <c r="E107" i="8"/>
  <c r="F107" i="8"/>
  <c r="G107" i="8"/>
  <c r="H107" i="8"/>
  <c r="I107" i="8"/>
  <c r="J107" i="8"/>
  <c r="K107" i="8"/>
  <c r="L107" i="8"/>
  <c r="E108" i="8"/>
  <c r="F108" i="8"/>
  <c r="G108" i="8"/>
  <c r="H108" i="8"/>
  <c r="I108" i="8"/>
  <c r="J108" i="8"/>
  <c r="K108" i="8"/>
  <c r="L108" i="8"/>
  <c r="E109" i="8"/>
  <c r="F109" i="8"/>
  <c r="G109" i="8"/>
  <c r="H109" i="8"/>
  <c r="I109" i="8"/>
  <c r="J109" i="8"/>
  <c r="K109" i="8"/>
  <c r="L109" i="8"/>
  <c r="E110" i="8"/>
  <c r="F110" i="8"/>
  <c r="G110" i="8"/>
  <c r="H110" i="8"/>
  <c r="I110" i="8"/>
  <c r="J110" i="8"/>
  <c r="K110" i="8"/>
  <c r="L110" i="8"/>
  <c r="E111" i="8"/>
  <c r="F111" i="8"/>
  <c r="G111" i="8"/>
  <c r="H111" i="8"/>
  <c r="I111" i="8"/>
  <c r="J111" i="8"/>
  <c r="K111" i="8"/>
  <c r="L111" i="8"/>
  <c r="E112" i="8"/>
  <c r="F112" i="8"/>
  <c r="G112" i="8"/>
  <c r="H112" i="8"/>
  <c r="I112" i="8"/>
  <c r="J112" i="8"/>
  <c r="K112" i="8"/>
  <c r="L112" i="8"/>
  <c r="E103" i="8"/>
  <c r="F103" i="8"/>
  <c r="G103" i="8"/>
  <c r="H103" i="8"/>
  <c r="I103" i="8"/>
  <c r="J103" i="8"/>
  <c r="K103" i="8"/>
  <c r="L103" i="8"/>
  <c r="M103" i="8"/>
  <c r="N103" i="8"/>
  <c r="O103" i="8"/>
  <c r="P103" i="8"/>
  <c r="Q103" i="8"/>
  <c r="E104" i="8"/>
  <c r="F104" i="8"/>
  <c r="G104" i="8"/>
  <c r="H104" i="8"/>
  <c r="I104" i="8"/>
  <c r="J104" i="8"/>
  <c r="K104" i="8"/>
  <c r="L104" i="8"/>
  <c r="M104" i="8"/>
  <c r="N104" i="8"/>
  <c r="O104" i="8"/>
  <c r="P104" i="8"/>
  <c r="Q104" i="8"/>
  <c r="F102" i="8"/>
  <c r="G102" i="8"/>
  <c r="H102" i="8"/>
  <c r="I102" i="8"/>
  <c r="J102" i="8"/>
  <c r="K102" i="8"/>
  <c r="L102" i="8"/>
  <c r="M102" i="8"/>
  <c r="N102" i="8"/>
  <c r="O102" i="8"/>
  <c r="P102" i="8"/>
  <c r="Q102" i="8"/>
  <c r="E102" i="8"/>
  <c r="F113" i="8"/>
  <c r="G113" i="8"/>
  <c r="H113" i="8"/>
  <c r="I113" i="8"/>
  <c r="J113" i="8"/>
  <c r="K113" i="8"/>
  <c r="L113" i="8"/>
  <c r="E113" i="8"/>
  <c r="P8" i="8"/>
  <c r="J8" i="8"/>
  <c r="D8" i="8"/>
  <c r="AI5" i="16" l="1"/>
  <c r="F364" i="12"/>
  <c r="J18" i="16"/>
  <c r="D370" i="12"/>
  <c r="D360" i="12" s="1"/>
  <c r="D343" i="12"/>
  <c r="D329" i="12"/>
  <c r="D351" i="12"/>
  <c r="D369" i="12"/>
  <c r="D352" i="12"/>
  <c r="D342" i="12"/>
  <c r="F329" i="12"/>
  <c r="F369" i="12"/>
  <c r="G352" i="12"/>
  <c r="G351" i="12"/>
  <c r="I16" i="16"/>
  <c r="G32" i="16"/>
  <c r="G36" i="16" s="1"/>
  <c r="AJ31" i="16"/>
  <c r="O16" i="16"/>
  <c r="N3" i="16"/>
  <c r="Q32" i="16"/>
  <c r="Q36" i="16" s="1"/>
  <c r="R32" i="16"/>
  <c r="R36" i="16" s="1"/>
  <c r="AH6" i="16"/>
  <c r="P32" i="16"/>
  <c r="P36" i="16" s="1"/>
  <c r="F383" i="12" s="1"/>
  <c r="AJ14" i="16"/>
  <c r="AH14" i="16"/>
  <c r="AJ16" i="16"/>
  <c r="N16" i="16"/>
  <c r="W34" i="16"/>
  <c r="U34" i="16"/>
  <c r="V34" i="16"/>
  <c r="X34" i="16"/>
  <c r="Y34" i="16"/>
  <c r="AI34" i="16" s="1"/>
  <c r="AI20" i="16"/>
  <c r="P17" i="16"/>
  <c r="F380" i="12" s="1"/>
  <c r="F371" i="12" s="1"/>
  <c r="AI14" i="16"/>
  <c r="O5" i="16"/>
  <c r="J17" i="16"/>
  <c r="D380" i="12" s="1"/>
  <c r="D371" i="12" s="1"/>
  <c r="N4" i="16"/>
  <c r="W64" i="16"/>
  <c r="F5" i="16"/>
  <c r="R5" i="16"/>
  <c r="R6" i="16" s="1"/>
  <c r="AH34" i="16"/>
  <c r="L32" i="16"/>
  <c r="L36" i="16" s="1"/>
  <c r="AH20" i="16"/>
  <c r="R17" i="16"/>
  <c r="R15" i="16" s="1"/>
  <c r="AG31" i="16"/>
  <c r="F16" i="16"/>
  <c r="F32" i="16"/>
  <c r="F36" i="16" s="1"/>
  <c r="D32" i="16"/>
  <c r="D36" i="16" s="1"/>
  <c r="H16" i="16"/>
  <c r="N32" i="16"/>
  <c r="N36" i="16" s="1"/>
  <c r="D6" i="16"/>
  <c r="AG6" i="16" s="1"/>
  <c r="Z64" i="16"/>
  <c r="AJ34" i="16"/>
  <c r="I32" i="16"/>
  <c r="I36" i="16" s="1"/>
  <c r="G17" i="16"/>
  <c r="AG20" i="16"/>
  <c r="G6" i="16"/>
  <c r="E16" i="16"/>
  <c r="E17" i="16" s="1"/>
  <c r="E15" i="16" s="1"/>
  <c r="AG16" i="16"/>
  <c r="D17" i="16"/>
  <c r="H12" i="16"/>
  <c r="M6" i="16"/>
  <c r="AJ6" i="16" s="1"/>
  <c r="P12" i="16"/>
  <c r="AI11" i="16"/>
  <c r="Q12" i="16"/>
  <c r="K12" i="16"/>
  <c r="AG11" i="16"/>
  <c r="D12" i="16"/>
  <c r="I12" i="16"/>
  <c r="K6" i="16"/>
  <c r="N5" i="16"/>
  <c r="E5" i="16"/>
  <c r="E6" i="16" s="1"/>
  <c r="H5" i="16"/>
  <c r="Q5" i="16"/>
  <c r="Q6" i="16" s="1"/>
  <c r="J32" i="16"/>
  <c r="J36" i="16" s="1"/>
  <c r="D383" i="12" s="1"/>
  <c r="AH11" i="16"/>
  <c r="J12" i="16"/>
  <c r="H32" i="16"/>
  <c r="H36" i="16" s="1"/>
  <c r="K32" i="16"/>
  <c r="K36" i="16" s="1"/>
  <c r="H4" i="16"/>
  <c r="H8" i="16"/>
  <c r="H3" i="16"/>
  <c r="L12" i="16"/>
  <c r="E12" i="16"/>
  <c r="G12" i="16"/>
  <c r="Q17" i="16"/>
  <c r="Q15" i="16" s="1"/>
  <c r="E32" i="16"/>
  <c r="E36" i="16" s="1"/>
  <c r="AJ20" i="16"/>
  <c r="F12" i="16"/>
  <c r="R12" i="16"/>
  <c r="L6" i="16"/>
  <c r="O3" i="16"/>
  <c r="O4" i="16"/>
  <c r="O8" i="16"/>
  <c r="M12" i="16"/>
  <c r="AJ11" i="16"/>
  <c r="O12" i="16"/>
  <c r="I8" i="16"/>
  <c r="I3" i="16"/>
  <c r="I4" i="16"/>
  <c r="N12" i="16"/>
  <c r="M32" i="16"/>
  <c r="M36" i="16" s="1"/>
  <c r="O32" i="16"/>
  <c r="O36" i="16" s="1"/>
  <c r="K17" i="16"/>
  <c r="K15" i="16" s="1"/>
  <c r="K22" i="16" s="1"/>
  <c r="M17" i="16"/>
  <c r="L17" i="16"/>
  <c r="L15" i="16" s="1"/>
  <c r="L22" i="16" s="1"/>
  <c r="P6" i="16"/>
  <c r="AI6" i="16" s="1"/>
  <c r="G348" i="12" l="1"/>
  <c r="G349" i="12"/>
  <c r="G345" i="12"/>
  <c r="G337" i="12"/>
  <c r="G334" i="12"/>
  <c r="D348" i="12"/>
  <c r="D345" i="12"/>
  <c r="D337" i="12"/>
  <c r="D349" i="12"/>
  <c r="D334" i="12"/>
  <c r="G342" i="12"/>
  <c r="G343" i="12"/>
  <c r="F6" i="16"/>
  <c r="F17" i="16"/>
  <c r="N17" i="16"/>
  <c r="N15" i="16" s="1"/>
  <c r="N22" i="16" s="1"/>
  <c r="N23" i="16" s="1"/>
  <c r="J15" i="16"/>
  <c r="P15" i="16"/>
  <c r="L23" i="16"/>
  <c r="L24" i="16" s="1"/>
  <c r="W35" i="16"/>
  <c r="W36" i="16"/>
  <c r="W38" i="16" s="1"/>
  <c r="AH17" i="16"/>
  <c r="U35" i="16"/>
  <c r="AG35" i="16" s="1"/>
  <c r="U36" i="16"/>
  <c r="U38" i="16" s="1"/>
  <c r="AG34" i="16"/>
  <c r="V35" i="16"/>
  <c r="AH35" i="16" s="1"/>
  <c r="V36" i="16"/>
  <c r="V38" i="16" s="1"/>
  <c r="X35" i="16"/>
  <c r="AJ35" i="16" s="1"/>
  <c r="X36" i="16"/>
  <c r="X38" i="16" s="1"/>
  <c r="Y35" i="16"/>
  <c r="AI35" i="16" s="1"/>
  <c r="Y36" i="16"/>
  <c r="Y38" i="16" s="1"/>
  <c r="Y39" i="16" s="1"/>
  <c r="R22" i="16"/>
  <c r="R23" i="16" s="1"/>
  <c r="R21" i="16" s="1"/>
  <c r="AI17" i="16"/>
  <c r="O17" i="16"/>
  <c r="I17" i="16"/>
  <c r="I15" i="16" s="1"/>
  <c r="I22" i="16" s="1"/>
  <c r="I23" i="16" s="1"/>
  <c r="I24" i="16" s="1"/>
  <c r="I26" i="16" s="1"/>
  <c r="G15" i="16"/>
  <c r="AG17" i="16"/>
  <c r="D15" i="16"/>
  <c r="Q22" i="16"/>
  <c r="Q23" i="16" s="1"/>
  <c r="Q24" i="16" s="1"/>
  <c r="H17" i="16"/>
  <c r="H15" i="16" s="1"/>
  <c r="H22" i="16" s="1"/>
  <c r="H23" i="16" s="1"/>
  <c r="K23" i="16"/>
  <c r="K24" i="16" s="1"/>
  <c r="O96" i="16"/>
  <c r="O98" i="16" s="1"/>
  <c r="O97" i="16"/>
  <c r="O99" i="16" s="1"/>
  <c r="O6" i="16"/>
  <c r="F96" i="16"/>
  <c r="F98" i="16" s="1"/>
  <c r="F97" i="16"/>
  <c r="F99" i="16" s="1"/>
  <c r="L96" i="16"/>
  <c r="L98" i="16" s="1"/>
  <c r="L97" i="16"/>
  <c r="L99" i="16" s="1"/>
  <c r="Q97" i="16"/>
  <c r="Q99" i="16" s="1"/>
  <c r="Q96" i="16"/>
  <c r="Q98" i="16" s="1"/>
  <c r="E22" i="16"/>
  <c r="E23" i="16" s="1"/>
  <c r="N97" i="16"/>
  <c r="N99" i="16" s="1"/>
  <c r="N96" i="16"/>
  <c r="N98" i="16" s="1"/>
  <c r="E97" i="16"/>
  <c r="E99" i="16" s="1"/>
  <c r="E96" i="16"/>
  <c r="E98" i="16" s="1"/>
  <c r="N6" i="16"/>
  <c r="G96" i="16"/>
  <c r="G98" i="16" s="1"/>
  <c r="G97" i="16"/>
  <c r="G99" i="16" s="1"/>
  <c r="D97" i="16"/>
  <c r="D99" i="16" s="1"/>
  <c r="D96" i="16"/>
  <c r="D98" i="16" s="1"/>
  <c r="R97" i="16"/>
  <c r="R99" i="16" s="1"/>
  <c r="R96" i="16"/>
  <c r="R98" i="16" s="1"/>
  <c r="I97" i="16"/>
  <c r="I99" i="16" s="1"/>
  <c r="I96" i="16"/>
  <c r="I98" i="16" s="1"/>
  <c r="M15" i="16"/>
  <c r="AJ17" i="16"/>
  <c r="I6" i="16"/>
  <c r="M97" i="16"/>
  <c r="M99" i="16" s="1"/>
  <c r="M96" i="16"/>
  <c r="M98" i="16" s="1"/>
  <c r="K97" i="16"/>
  <c r="K99" i="16" s="1"/>
  <c r="K96" i="16"/>
  <c r="K98" i="16" s="1"/>
  <c r="P96" i="16"/>
  <c r="P98" i="16" s="1"/>
  <c r="P97" i="16"/>
  <c r="P99" i="16" s="1"/>
  <c r="H6" i="16"/>
  <c r="J97" i="16"/>
  <c r="J99" i="16" s="1"/>
  <c r="J96" i="16"/>
  <c r="J98" i="16" s="1"/>
  <c r="H96" i="16"/>
  <c r="H98" i="16" s="1"/>
  <c r="H97" i="16"/>
  <c r="H99" i="16" s="1"/>
  <c r="O34" i="8"/>
  <c r="N34" i="8"/>
  <c r="M34" i="8"/>
  <c r="L34" i="8"/>
  <c r="K34" i="8"/>
  <c r="J34" i="8"/>
  <c r="R34" i="8"/>
  <c r="Q34" i="8"/>
  <c r="P34" i="8"/>
  <c r="AC34" i="16" s="1"/>
  <c r="I34" i="8"/>
  <c r="H34" i="8"/>
  <c r="G34" i="8"/>
  <c r="D34" i="8"/>
  <c r="AA34" i="16" s="1"/>
  <c r="H20" i="9"/>
  <c r="D25" i="12" s="1"/>
  <c r="G20" i="9"/>
  <c r="AK2" i="8"/>
  <c r="AJ2" i="8"/>
  <c r="D347" i="12" l="1"/>
  <c r="D346" i="12"/>
  <c r="G347" i="12"/>
  <c r="G346" i="12"/>
  <c r="G35" i="8"/>
  <c r="AD34" i="16"/>
  <c r="F15" i="16"/>
  <c r="J22" i="16"/>
  <c r="D376" i="12" s="1"/>
  <c r="AH36" i="16"/>
  <c r="AB34" i="16"/>
  <c r="O20" i="9"/>
  <c r="AI15" i="16"/>
  <c r="AH15" i="16"/>
  <c r="P22" i="16"/>
  <c r="L21" i="16"/>
  <c r="AI36" i="16"/>
  <c r="AG36" i="16"/>
  <c r="R24" i="16"/>
  <c r="R25" i="16" s="1"/>
  <c r="R28" i="16" s="1"/>
  <c r="AJ36" i="16"/>
  <c r="J35" i="8"/>
  <c r="M35" i="8"/>
  <c r="P35" i="8"/>
  <c r="D35" i="8"/>
  <c r="AA35" i="16" s="1"/>
  <c r="O15" i="16"/>
  <c r="G22" i="16"/>
  <c r="I21" i="16"/>
  <c r="AG15" i="16"/>
  <c r="D22" i="16"/>
  <c r="D23" i="16" s="1"/>
  <c r="K21" i="16"/>
  <c r="Q21" i="16"/>
  <c r="E21" i="16"/>
  <c r="E24" i="16"/>
  <c r="K26" i="16"/>
  <c r="K25" i="16"/>
  <c r="K28" i="16" s="1"/>
  <c r="Q26" i="16"/>
  <c r="Q25" i="16"/>
  <c r="Q28" i="16" s="1"/>
  <c r="I25" i="16"/>
  <c r="I28" i="16" s="1"/>
  <c r="L26" i="16"/>
  <c r="L25" i="16"/>
  <c r="L28" i="16" s="1"/>
  <c r="N21" i="16"/>
  <c r="N24" i="16"/>
  <c r="M22" i="16"/>
  <c r="AJ15" i="16"/>
  <c r="H21" i="16"/>
  <c r="H24" i="16"/>
  <c r="U32" i="8"/>
  <c r="BQ61" i="8"/>
  <c r="P23" i="16" l="1"/>
  <c r="P24" i="16" s="1"/>
  <c r="F378" i="12" s="1"/>
  <c r="G336" i="12" s="1"/>
  <c r="F376" i="12"/>
  <c r="AB35" i="16"/>
  <c r="C373" i="12"/>
  <c r="D302" i="12" s="1"/>
  <c r="C109" i="12"/>
  <c r="C110" i="12" s="1"/>
  <c r="E109" i="12"/>
  <c r="E110" i="12" s="1"/>
  <c r="AD35" i="16"/>
  <c r="AC35" i="16"/>
  <c r="J109" i="12"/>
  <c r="J110" i="12" s="1"/>
  <c r="E373" i="12"/>
  <c r="F302" i="12" s="1"/>
  <c r="G23" i="16"/>
  <c r="F22" i="16"/>
  <c r="M23" i="16"/>
  <c r="AJ23" i="16" s="1"/>
  <c r="P21" i="16"/>
  <c r="J23" i="16"/>
  <c r="D377" i="12" s="1"/>
  <c r="D335" i="12" s="1"/>
  <c r="R29" i="16"/>
  <c r="R26" i="16"/>
  <c r="Q29" i="16"/>
  <c r="F109" i="12"/>
  <c r="F110" i="12" s="1"/>
  <c r="H109" i="12"/>
  <c r="H110" i="12" s="1"/>
  <c r="O22" i="16"/>
  <c r="O23" i="16" s="1"/>
  <c r="O24" i="16" s="1"/>
  <c r="O25" i="16" s="1"/>
  <c r="D24" i="16"/>
  <c r="AG23" i="16"/>
  <c r="D21" i="16"/>
  <c r="I38" i="16"/>
  <c r="E26" i="16"/>
  <c r="E25" i="16"/>
  <c r="E28" i="16" s="1"/>
  <c r="R38" i="16"/>
  <c r="M24" i="16"/>
  <c r="L38" i="16"/>
  <c r="H26" i="16"/>
  <c r="H25" i="16"/>
  <c r="H28" i="16" s="1"/>
  <c r="Q38" i="16"/>
  <c r="K38" i="16"/>
  <c r="N26" i="16"/>
  <c r="N25" i="16"/>
  <c r="N28" i="16" s="1"/>
  <c r="E26" i="12"/>
  <c r="AI23" i="16" l="1"/>
  <c r="F377" i="12"/>
  <c r="G335" i="12" s="1"/>
  <c r="C344" i="12"/>
  <c r="C302" i="12"/>
  <c r="F344" i="12"/>
  <c r="E302" i="12"/>
  <c r="C374" i="12"/>
  <c r="D303" i="12" s="1"/>
  <c r="E374" i="12"/>
  <c r="F303" i="12" s="1"/>
  <c r="G24" i="16"/>
  <c r="G21" i="16"/>
  <c r="F23" i="16"/>
  <c r="M21" i="16"/>
  <c r="J24" i="16"/>
  <c r="D378" i="12" s="1"/>
  <c r="D336" i="12" s="1"/>
  <c r="AH23" i="16"/>
  <c r="J21" i="16"/>
  <c r="AI24" i="16"/>
  <c r="P26" i="16"/>
  <c r="P25" i="16"/>
  <c r="F381" i="12" s="1"/>
  <c r="G355" i="12" s="1"/>
  <c r="J40" i="16"/>
  <c r="O26" i="16"/>
  <c r="O21" i="16"/>
  <c r="O28" i="16"/>
  <c r="R39" i="16"/>
  <c r="D25" i="16"/>
  <c r="AG24" i="16"/>
  <c r="D26" i="16"/>
  <c r="N38" i="16"/>
  <c r="Q39" i="16"/>
  <c r="P40" i="16"/>
  <c r="M26" i="16"/>
  <c r="AJ24" i="16"/>
  <c r="M25" i="16"/>
  <c r="H38" i="16"/>
  <c r="G40" i="16" s="1"/>
  <c r="E38" i="16"/>
  <c r="K97" i="12"/>
  <c r="K98" i="12"/>
  <c r="K99" i="12"/>
  <c r="K100" i="12"/>
  <c r="K104" i="12"/>
  <c r="K106" i="12"/>
  <c r="K108" i="12"/>
  <c r="I97" i="12"/>
  <c r="I98" i="12"/>
  <c r="I99" i="12"/>
  <c r="I100" i="12"/>
  <c r="I104" i="12"/>
  <c r="I106" i="12"/>
  <c r="I96" i="12" s="1"/>
  <c r="I108" i="12"/>
  <c r="G108" i="12"/>
  <c r="G106" i="12"/>
  <c r="G96" i="12" s="1"/>
  <c r="G104" i="12"/>
  <c r="G100" i="12"/>
  <c r="G99" i="12"/>
  <c r="G98" i="12"/>
  <c r="G97" i="12"/>
  <c r="D108" i="12"/>
  <c r="D106" i="12"/>
  <c r="D104" i="12"/>
  <c r="D100" i="12"/>
  <c r="D99" i="12"/>
  <c r="D98" i="12"/>
  <c r="D97" i="12"/>
  <c r="C345" i="12" l="1"/>
  <c r="C326" i="12" s="1"/>
  <c r="C303" i="12"/>
  <c r="F345" i="12"/>
  <c r="H345" i="12" s="1"/>
  <c r="F326" i="12" s="1"/>
  <c r="E303" i="12"/>
  <c r="K96" i="12"/>
  <c r="E40" i="12"/>
  <c r="D96" i="12"/>
  <c r="C40" i="12"/>
  <c r="G26" i="16"/>
  <c r="G25" i="16"/>
  <c r="F21" i="16"/>
  <c r="F24" i="16"/>
  <c r="J25" i="16"/>
  <c r="D381" i="12" s="1"/>
  <c r="D355" i="12" s="1"/>
  <c r="J26" i="16"/>
  <c r="AH24" i="16"/>
  <c r="D77" i="12"/>
  <c r="D76" i="12"/>
  <c r="G85" i="12"/>
  <c r="G86" i="12"/>
  <c r="G82" i="12" s="1"/>
  <c r="D86" i="12"/>
  <c r="D85" i="12"/>
  <c r="D105" i="12"/>
  <c r="I105" i="12"/>
  <c r="G105" i="12"/>
  <c r="K105" i="12"/>
  <c r="P28" i="16"/>
  <c r="F382" i="12" s="1"/>
  <c r="AI25" i="16"/>
  <c r="AI26" i="16" s="1"/>
  <c r="O38" i="16"/>
  <c r="D28" i="16"/>
  <c r="AG25" i="16"/>
  <c r="AG26" i="16" s="1"/>
  <c r="AJ25" i="16"/>
  <c r="AJ26" i="16" s="1"/>
  <c r="M28" i="16"/>
  <c r="E345" i="12" l="1"/>
  <c r="D326" i="12" s="1"/>
  <c r="E326" i="12"/>
  <c r="G77" i="12"/>
  <c r="G76" i="12"/>
  <c r="G83" i="12"/>
  <c r="D68" i="12"/>
  <c r="G28" i="16"/>
  <c r="F25" i="16"/>
  <c r="F26" i="16"/>
  <c r="J28" i="16"/>
  <c r="AH25" i="16"/>
  <c r="AH26" i="16" s="1"/>
  <c r="D82" i="12"/>
  <c r="D83" i="12"/>
  <c r="G68" i="12"/>
  <c r="P38" i="16"/>
  <c r="AI28" i="16"/>
  <c r="M40" i="16"/>
  <c r="D38" i="16"/>
  <c r="AG28" i="16"/>
  <c r="M38" i="16"/>
  <c r="AJ28" i="16"/>
  <c r="AT58" i="8"/>
  <c r="AS58" i="8"/>
  <c r="U8" i="9" l="1"/>
  <c r="F384" i="12"/>
  <c r="P29" i="16"/>
  <c r="D382" i="12"/>
  <c r="G38" i="16"/>
  <c r="F28" i="16"/>
  <c r="AH28" i="16"/>
  <c r="AI29" i="16" s="1"/>
  <c r="J38" i="16"/>
  <c r="D384" i="12" s="1"/>
  <c r="G80" i="12"/>
  <c r="G81" i="12"/>
  <c r="D81" i="12"/>
  <c r="D80" i="12"/>
  <c r="AJ38" i="16"/>
  <c r="AI38" i="16"/>
  <c r="AG38" i="16"/>
  <c r="M2" i="8"/>
  <c r="G2" i="8"/>
  <c r="R25" i="4"/>
  <c r="V24" i="4" s="1"/>
  <c r="Q17" i="4"/>
  <c r="R17" i="4" s="1"/>
  <c r="Q18" i="4"/>
  <c r="R18" i="4" s="1"/>
  <c r="Q19" i="4"/>
  <c r="R19" i="4" s="1"/>
  <c r="Q20" i="4"/>
  <c r="R20" i="4" s="1"/>
  <c r="Q22" i="4"/>
  <c r="R22" i="4" s="1"/>
  <c r="Q23" i="4"/>
  <c r="R23" i="4" s="1"/>
  <c r="Q24" i="4"/>
  <c r="Q25" i="4"/>
  <c r="Q26" i="4"/>
  <c r="R26" i="4" s="1"/>
  <c r="Q15" i="4"/>
  <c r="R15" i="4" s="1"/>
  <c r="E98" i="12" l="1"/>
  <c r="AD2" i="16"/>
  <c r="H98" i="12"/>
  <c r="M8" i="8"/>
  <c r="F38" i="16"/>
  <c r="T8" i="9"/>
  <c r="W8" i="9" s="1"/>
  <c r="AH38" i="16"/>
  <c r="AI39" i="16" s="1"/>
  <c r="P39" i="16"/>
  <c r="V8" i="9" s="1"/>
  <c r="AL2" i="8"/>
  <c r="G8" i="8"/>
  <c r="CJ6" i="8"/>
  <c r="D40" i="16" l="1"/>
  <c r="S24" i="8"/>
  <c r="S10" i="8"/>
  <c r="AI10" i="8"/>
  <c r="J11" i="8" l="1"/>
  <c r="AB11" i="16" s="1"/>
  <c r="T14" i="9" s="1"/>
  <c r="P14" i="8"/>
  <c r="U21" i="9" s="1"/>
  <c r="M14" i="8"/>
  <c r="D14" i="8"/>
  <c r="F106" i="12" s="1"/>
  <c r="F96" i="12" s="1"/>
  <c r="J14" i="8"/>
  <c r="T21" i="9" s="1"/>
  <c r="K14" i="8"/>
  <c r="L14" i="8"/>
  <c r="H106" i="12"/>
  <c r="H96" i="12" s="1"/>
  <c r="N14" i="8"/>
  <c r="R14" i="8"/>
  <c r="O14" i="8"/>
  <c r="E14" i="8"/>
  <c r="Q14" i="8"/>
  <c r="H14" i="8"/>
  <c r="E106" i="12"/>
  <c r="E96" i="12" s="1"/>
  <c r="I14" i="8"/>
  <c r="O11" i="8"/>
  <c r="K11" i="8"/>
  <c r="L11" i="8"/>
  <c r="L12" i="8" s="1"/>
  <c r="P11" i="8"/>
  <c r="Q11" i="8"/>
  <c r="R11" i="8"/>
  <c r="R12" i="8" s="1"/>
  <c r="M11" i="8"/>
  <c r="D11" i="8"/>
  <c r="AA11" i="16" s="1"/>
  <c r="N11" i="8"/>
  <c r="N12" i="8" s="1"/>
  <c r="G11" i="8"/>
  <c r="F14" i="8"/>
  <c r="H11" i="8"/>
  <c r="I11" i="8"/>
  <c r="I12" i="8" s="1"/>
  <c r="E11" i="8"/>
  <c r="F11" i="8"/>
  <c r="BS57" i="8"/>
  <c r="BS59" i="8"/>
  <c r="BS58" i="8"/>
  <c r="BR58" i="8" s="1"/>
  <c r="CG66" i="8" s="1"/>
  <c r="BS67" i="8"/>
  <c r="BR67" i="8" s="1"/>
  <c r="CG69" i="8" s="1"/>
  <c r="BA57" i="8"/>
  <c r="BC57" i="8"/>
  <c r="BB57" i="8" s="1"/>
  <c r="BR60" i="8"/>
  <c r="CG67" i="8" s="1"/>
  <c r="CH67" i="8"/>
  <c r="BS70" i="8"/>
  <c r="BR70" i="8" s="1"/>
  <c r="CG68" i="8" s="1"/>
  <c r="BS68" i="8"/>
  <c r="BC66" i="8"/>
  <c r="BB66" i="8" s="1"/>
  <c r="CH70" i="8" s="1"/>
  <c r="BA66" i="8"/>
  <c r="BS61" i="8"/>
  <c r="BR61" i="8" s="1"/>
  <c r="CG64" i="8" s="1"/>
  <c r="BC63" i="8"/>
  <c r="BB63" i="8" s="1"/>
  <c r="CH64" i="8" s="1"/>
  <c r="BA63" i="8"/>
  <c r="BS64" i="8"/>
  <c r="BR64" i="8" s="1"/>
  <c r="CG57" i="8" s="1"/>
  <c r="BC69" i="8"/>
  <c r="BB69" i="8" s="1"/>
  <c r="CH57" i="8" s="1"/>
  <c r="BA69" i="8"/>
  <c r="BS69" i="8"/>
  <c r="BR69" i="8" s="1"/>
  <c r="CG59" i="8" s="1"/>
  <c r="BC73" i="8"/>
  <c r="BB73" i="8" s="1"/>
  <c r="BA73" i="8"/>
  <c r="BA60" i="8"/>
  <c r="BS71" i="8"/>
  <c r="BQ58" i="8"/>
  <c r="BC59" i="8"/>
  <c r="BB59" i="8" s="1"/>
  <c r="CH66" i="8" s="1"/>
  <c r="BA59" i="8"/>
  <c r="BQ71" i="8"/>
  <c r="BC70" i="8"/>
  <c r="BB70" i="8" s="1"/>
  <c r="CH71" i="8" s="1"/>
  <c r="BA70" i="8"/>
  <c r="BC65" i="8"/>
  <c r="BB65" i="8" s="1"/>
  <c r="CH63" i="8" s="1"/>
  <c r="CI63" i="8" s="1"/>
  <c r="BA65" i="8"/>
  <c r="BS72" i="8"/>
  <c r="BR72" i="8" s="1"/>
  <c r="BC74" i="8"/>
  <c r="BB74" i="8" s="1"/>
  <c r="BA74" i="8"/>
  <c r="BQ70" i="8"/>
  <c r="BQ65" i="8"/>
  <c r="BQ66" i="8"/>
  <c r="BQ60" i="8"/>
  <c r="BQ67" i="8"/>
  <c r="BC67" i="8"/>
  <c r="BB67" i="8" s="1"/>
  <c r="CH69" i="8" s="1"/>
  <c r="BA67" i="8"/>
  <c r="BA61" i="8"/>
  <c r="BA72" i="8"/>
  <c r="BC72" i="8"/>
  <c r="BB72" i="8" s="1"/>
  <c r="CH58" i="8" s="1"/>
  <c r="BC58" i="8"/>
  <c r="BA58" i="8"/>
  <c r="BA68" i="8"/>
  <c r="BC71" i="8"/>
  <c r="BB71" i="8" s="1"/>
  <c r="CH68" i="8" s="1"/>
  <c r="BA71" i="8"/>
  <c r="BC62" i="8"/>
  <c r="BB62" i="8" s="1"/>
  <c r="CH62" i="8" s="1"/>
  <c r="BA62" i="8"/>
  <c r="BR66" i="8"/>
  <c r="CG58" i="8" s="1"/>
  <c r="AQ18" i="8"/>
  <c r="BC60" i="8" s="1"/>
  <c r="BB60" i="8" s="1"/>
  <c r="CG72" i="8" l="1"/>
  <c r="CI72" i="8" s="1"/>
  <c r="CH72" i="8"/>
  <c r="T13" i="9"/>
  <c r="C370" i="12"/>
  <c r="C106" i="12"/>
  <c r="C96" i="12" s="1"/>
  <c r="C75" i="12" s="1"/>
  <c r="C57" i="12" s="1"/>
  <c r="E370" i="12"/>
  <c r="J106" i="12"/>
  <c r="J96" i="12" s="1"/>
  <c r="F75" i="12" s="1"/>
  <c r="E57" i="12" s="1"/>
  <c r="C368" i="12"/>
  <c r="D298" i="12" s="1"/>
  <c r="C104" i="12"/>
  <c r="C73" i="12" s="1"/>
  <c r="E104" i="12"/>
  <c r="AD11" i="16"/>
  <c r="E368" i="12"/>
  <c r="F298" i="12" s="1"/>
  <c r="J104" i="12"/>
  <c r="E105" i="12"/>
  <c r="AC11" i="16"/>
  <c r="U14" i="9" s="1"/>
  <c r="U13" i="9"/>
  <c r="H104" i="12"/>
  <c r="F104" i="12"/>
  <c r="H12" i="8"/>
  <c r="K12" i="8"/>
  <c r="O12" i="8"/>
  <c r="Q12" i="8"/>
  <c r="CH59" i="8"/>
  <c r="CI59" i="8" s="1"/>
  <c r="BR59" i="8"/>
  <c r="CG62" i="8" s="1"/>
  <c r="CI58" i="8"/>
  <c r="CI69" i="8"/>
  <c r="BR71" i="8"/>
  <c r="CI57" i="8"/>
  <c r="BR68" i="8"/>
  <c r="CG70" i="8" s="1"/>
  <c r="CI67" i="8"/>
  <c r="CI68" i="8"/>
  <c r="BR57" i="8"/>
  <c r="AR58" i="8" s="1"/>
  <c r="CI64" i="8"/>
  <c r="BB58" i="8"/>
  <c r="F339" i="12" l="1"/>
  <c r="E321" i="12" s="1"/>
  <c r="E312" i="12" s="1"/>
  <c r="E298" i="12"/>
  <c r="C339" i="12"/>
  <c r="C321" i="12" s="1"/>
  <c r="C312" i="12" s="1"/>
  <c r="C298" i="12"/>
  <c r="C360" i="12"/>
  <c r="C341" i="12" s="1"/>
  <c r="C322" i="12" s="1"/>
  <c r="D300" i="12" s="1"/>
  <c r="C300" i="12"/>
  <c r="E360" i="12"/>
  <c r="F341" i="12" s="1"/>
  <c r="E322" i="12" s="1"/>
  <c r="F300" i="12" s="1"/>
  <c r="E300" i="12"/>
  <c r="C369" i="12"/>
  <c r="D299" i="12" s="1"/>
  <c r="C105" i="12"/>
  <c r="C74" i="12" s="1"/>
  <c r="J105" i="12"/>
  <c r="F74" i="12" s="1"/>
  <c r="F73" i="12"/>
  <c r="E369" i="12"/>
  <c r="F299" i="12" s="1"/>
  <c r="H105" i="12"/>
  <c r="F105" i="12"/>
  <c r="CG60" i="8"/>
  <c r="CG71" i="8"/>
  <c r="CI71" i="8" s="1"/>
  <c r="CH60" i="8"/>
  <c r="AQ58" i="8"/>
  <c r="CI62" i="8"/>
  <c r="CI70" i="8"/>
  <c r="CI66" i="8"/>
  <c r="H35" i="8"/>
  <c r="R35" i="8"/>
  <c r="Q35" i="8"/>
  <c r="O35" i="8"/>
  <c r="N35" i="8"/>
  <c r="L35" i="8"/>
  <c r="K35" i="8"/>
  <c r="I35" i="8"/>
  <c r="F34" i="8"/>
  <c r="F35" i="8" s="1"/>
  <c r="E34" i="8"/>
  <c r="E35" i="8" s="1"/>
  <c r="P16" i="8"/>
  <c r="J16" i="8"/>
  <c r="AB32" i="8"/>
  <c r="J31" i="8"/>
  <c r="R32" i="9" s="1"/>
  <c r="R7" i="8"/>
  <c r="Q7" i="8"/>
  <c r="P7" i="8"/>
  <c r="O7" i="8"/>
  <c r="N7" i="8"/>
  <c r="M7" i="8"/>
  <c r="H97" i="12" s="1"/>
  <c r="F7" i="8"/>
  <c r="E7" i="8"/>
  <c r="D7" i="8"/>
  <c r="F97" i="12" s="1"/>
  <c r="G7" i="8"/>
  <c r="E97" i="12" s="1"/>
  <c r="P3" i="8"/>
  <c r="J3" i="8"/>
  <c r="G4" i="8"/>
  <c r="N2" i="8"/>
  <c r="N8" i="8" s="1"/>
  <c r="I7" i="8"/>
  <c r="H7" i="8"/>
  <c r="L7" i="8"/>
  <c r="K7" i="8"/>
  <c r="J5" i="8"/>
  <c r="J4" i="8"/>
  <c r="P4" i="8"/>
  <c r="S20" i="8"/>
  <c r="L2" i="8"/>
  <c r="L8" i="8" s="1"/>
  <c r="K2" i="8"/>
  <c r="K8" i="8" s="1"/>
  <c r="R2" i="8"/>
  <c r="R8" i="8" s="1"/>
  <c r="Q2" i="8"/>
  <c r="Q8" i="8" s="1"/>
  <c r="J20" i="8" l="1"/>
  <c r="P20" i="8"/>
  <c r="C355" i="12"/>
  <c r="E355" i="12" s="1"/>
  <c r="D312" i="12" s="1"/>
  <c r="F340" i="12"/>
  <c r="E299" i="12"/>
  <c r="C340" i="12"/>
  <c r="C299" i="12"/>
  <c r="F355" i="12"/>
  <c r="H355" i="12" s="1"/>
  <c r="F312" i="12" s="1"/>
  <c r="AB5" i="16"/>
  <c r="C364" i="12"/>
  <c r="C335" i="12" s="1"/>
  <c r="C100" i="12"/>
  <c r="C365" i="12"/>
  <c r="C336" i="12" s="1"/>
  <c r="C101" i="12"/>
  <c r="AB3" i="16"/>
  <c r="C99" i="12"/>
  <c r="C363" i="12"/>
  <c r="C334" i="12" s="1"/>
  <c r="C102" i="12"/>
  <c r="C366" i="12"/>
  <c r="D296" i="12" s="1"/>
  <c r="C328" i="12" s="1"/>
  <c r="AC3" i="16"/>
  <c r="E363" i="12"/>
  <c r="J99" i="12"/>
  <c r="E361" i="12"/>
  <c r="J97" i="12"/>
  <c r="E365" i="12"/>
  <c r="J101" i="12"/>
  <c r="E101" i="12"/>
  <c r="AD4" i="16"/>
  <c r="AC16" i="16"/>
  <c r="E372" i="12"/>
  <c r="J108" i="12"/>
  <c r="AB16" i="16"/>
  <c r="C372" i="12"/>
  <c r="C108" i="12"/>
  <c r="C77" i="12" s="1"/>
  <c r="AB31" i="16"/>
  <c r="AK4" i="8"/>
  <c r="AC4" i="16"/>
  <c r="AJ4" i="8"/>
  <c r="AB4" i="16"/>
  <c r="B21" i="8"/>
  <c r="D20" i="8"/>
  <c r="AA20" i="16" s="1"/>
  <c r="R4" i="8"/>
  <c r="N3" i="8"/>
  <c r="Q3" i="8"/>
  <c r="L3" i="8"/>
  <c r="K3" i="8"/>
  <c r="E2" i="8"/>
  <c r="E8" i="8" s="1"/>
  <c r="CI60" i="8"/>
  <c r="H31" i="8"/>
  <c r="D5" i="8"/>
  <c r="R16" i="8"/>
  <c r="AK16" i="8"/>
  <c r="L16" i="8"/>
  <c r="AJ16" i="8"/>
  <c r="G5" i="8"/>
  <c r="K16" i="8"/>
  <c r="Q16" i="8"/>
  <c r="D3" i="8"/>
  <c r="M16" i="8"/>
  <c r="D16" i="8"/>
  <c r="AA16" i="16" s="1"/>
  <c r="L5" i="8"/>
  <c r="I5" i="8" s="1"/>
  <c r="P5" i="8"/>
  <c r="M5" i="8"/>
  <c r="H100" i="12" s="1"/>
  <c r="G16" i="8"/>
  <c r="D31" i="8"/>
  <c r="F102" i="12" s="1"/>
  <c r="G31" i="8"/>
  <c r="M3" i="8"/>
  <c r="H99" i="12" s="1"/>
  <c r="K5" i="8"/>
  <c r="F31" i="8"/>
  <c r="R3" i="8"/>
  <c r="E31" i="8"/>
  <c r="G3" i="8"/>
  <c r="I31" i="8"/>
  <c r="F2" i="8"/>
  <c r="F8" i="8" s="1"/>
  <c r="D4" i="8"/>
  <c r="I2" i="8"/>
  <c r="I8" i="8" s="1"/>
  <c r="H2" i="8"/>
  <c r="H8" i="8" s="1"/>
  <c r="M4" i="8"/>
  <c r="H101" i="12" s="1"/>
  <c r="O2" i="8"/>
  <c r="O8" i="8" s="1"/>
  <c r="L4" i="8"/>
  <c r="K4" i="8"/>
  <c r="Q4" i="8"/>
  <c r="N4" i="8"/>
  <c r="F328" i="12" l="1"/>
  <c r="D328" i="12"/>
  <c r="C337" i="12"/>
  <c r="E337" i="12" s="1"/>
  <c r="C296" i="12"/>
  <c r="C343" i="12"/>
  <c r="E343" i="12" s="1"/>
  <c r="E102" i="12"/>
  <c r="AD31" i="16"/>
  <c r="AC5" i="16"/>
  <c r="E364" i="12"/>
  <c r="J100" i="12"/>
  <c r="AA3" i="16"/>
  <c r="F99" i="12"/>
  <c r="AA5" i="16"/>
  <c r="F100" i="12"/>
  <c r="AA4" i="16"/>
  <c r="F101" i="12"/>
  <c r="E100" i="12"/>
  <c r="AD5" i="16"/>
  <c r="E335" i="12"/>
  <c r="H335" i="12"/>
  <c r="E99" i="12"/>
  <c r="AD3" i="16"/>
  <c r="E108" i="12"/>
  <c r="AD16" i="16"/>
  <c r="H334" i="12"/>
  <c r="E334" i="12"/>
  <c r="E336" i="12"/>
  <c r="H336" i="12"/>
  <c r="AC20" i="16"/>
  <c r="E375" i="12"/>
  <c r="J111" i="12"/>
  <c r="AB20" i="16"/>
  <c r="C375" i="12"/>
  <c r="C111" i="12"/>
  <c r="C68" i="12"/>
  <c r="H68" i="12" s="1"/>
  <c r="F32" i="12" s="1"/>
  <c r="E77" i="12"/>
  <c r="D34" i="12" s="1"/>
  <c r="C34" i="12"/>
  <c r="C70" i="12"/>
  <c r="C69" i="12"/>
  <c r="F77" i="12"/>
  <c r="H77" i="12" s="1"/>
  <c r="F34" i="12" s="1"/>
  <c r="AA31" i="16"/>
  <c r="E3" i="8"/>
  <c r="AI31" i="8"/>
  <c r="AI3" i="8"/>
  <c r="AI5" i="8"/>
  <c r="AI4" i="8"/>
  <c r="AL4" i="8"/>
  <c r="O3" i="8"/>
  <c r="I3" i="8"/>
  <c r="E4" i="8"/>
  <c r="H108" i="12"/>
  <c r="AI16" i="8"/>
  <c r="F108" i="12"/>
  <c r="H32" i="8"/>
  <c r="P6" i="8"/>
  <c r="AC6" i="16" s="1"/>
  <c r="N16" i="8"/>
  <c r="AL16" i="8"/>
  <c r="F32" i="8"/>
  <c r="O16" i="8"/>
  <c r="R5" i="8"/>
  <c r="R6" i="8" s="1"/>
  <c r="E32" i="8"/>
  <c r="H16" i="8"/>
  <c r="I16" i="8"/>
  <c r="F16" i="8"/>
  <c r="E16" i="8"/>
  <c r="O5" i="8"/>
  <c r="F5" i="8"/>
  <c r="I32" i="8"/>
  <c r="H5" i="8"/>
  <c r="Q5" i="8"/>
  <c r="Q6" i="8" s="1"/>
  <c r="E5" i="8"/>
  <c r="N5" i="8"/>
  <c r="F4" i="8"/>
  <c r="F3" i="8"/>
  <c r="H4" i="8"/>
  <c r="H3" i="8"/>
  <c r="I4" i="8"/>
  <c r="O4" i="8"/>
  <c r="C74" i="8"/>
  <c r="C72" i="8"/>
  <c r="C71" i="8"/>
  <c r="C70" i="8"/>
  <c r="C68" i="8"/>
  <c r="F343" i="12" l="1"/>
  <c r="H343" i="12" s="1"/>
  <c r="C346" i="12"/>
  <c r="E346" i="12" s="1"/>
  <c r="D323" i="12" s="1"/>
  <c r="H337" i="12"/>
  <c r="F346" i="12"/>
  <c r="E323" i="12" s="1"/>
  <c r="E338" i="12"/>
  <c r="C32" i="12"/>
  <c r="E68" i="12"/>
  <c r="D32" i="12" s="1"/>
  <c r="C36" i="12"/>
  <c r="C35" i="12"/>
  <c r="M18" i="8"/>
  <c r="AL14" i="8" s="1"/>
  <c r="N18" i="8"/>
  <c r="N17" i="8" s="1"/>
  <c r="J18" i="8"/>
  <c r="F18" i="8"/>
  <c r="F17" i="8" s="1"/>
  <c r="E18" i="8"/>
  <c r="O18" i="8"/>
  <c r="O17" i="8" s="1"/>
  <c r="G18" i="8"/>
  <c r="AD14" i="16" s="1"/>
  <c r="I18" i="8"/>
  <c r="I17" i="8" s="1"/>
  <c r="K18" i="8"/>
  <c r="K17" i="8" s="1"/>
  <c r="P18" i="8"/>
  <c r="H18" i="8"/>
  <c r="H17" i="8" s="1"/>
  <c r="Q18" i="8"/>
  <c r="Q17" i="8" s="1"/>
  <c r="D18" i="8"/>
  <c r="R18" i="8"/>
  <c r="R17" i="8" s="1"/>
  <c r="L18" i="8"/>
  <c r="L17" i="8" s="1"/>
  <c r="U17" i="8"/>
  <c r="G116" i="12" s="1"/>
  <c r="G107" i="12" s="1"/>
  <c r="E12" i="8"/>
  <c r="F12" i="8"/>
  <c r="C323" i="12" l="1"/>
  <c r="H338" i="12"/>
  <c r="H346" i="12"/>
  <c r="F323" i="12" s="1"/>
  <c r="AJ14" i="8"/>
  <c r="AB14" i="16"/>
  <c r="T22" i="9" s="1"/>
  <c r="AI14" i="8"/>
  <c r="AA14" i="16"/>
  <c r="AK14" i="8"/>
  <c r="AC14" i="16"/>
  <c r="U22" i="9" s="1"/>
  <c r="G17" i="8"/>
  <c r="AD17" i="16" s="1"/>
  <c r="M17" i="8"/>
  <c r="P17" i="8"/>
  <c r="J17" i="8"/>
  <c r="D17" i="8"/>
  <c r="AA17" i="16" s="1"/>
  <c r="E17" i="8"/>
  <c r="E15" i="8" s="1"/>
  <c r="E22" i="8" s="1"/>
  <c r="H96" i="8"/>
  <c r="H97" i="8"/>
  <c r="K97" i="8"/>
  <c r="K96" i="8"/>
  <c r="I97" i="8"/>
  <c r="I96" i="8"/>
  <c r="R97" i="8"/>
  <c r="R96" i="8"/>
  <c r="Q97" i="8"/>
  <c r="Q96" i="8"/>
  <c r="F96" i="8"/>
  <c r="F97" i="8"/>
  <c r="O97" i="8"/>
  <c r="O96" i="8"/>
  <c r="N97" i="8"/>
  <c r="N96" i="8"/>
  <c r="E96" i="8"/>
  <c r="E97" i="8"/>
  <c r="L96" i="8"/>
  <c r="L97" i="8"/>
  <c r="G32" i="8"/>
  <c r="E116" i="12" l="1"/>
  <c r="E107" i="12" s="1"/>
  <c r="AC17" i="16"/>
  <c r="E380" i="12"/>
  <c r="J116" i="12"/>
  <c r="J107" i="12" s="1"/>
  <c r="AB17" i="16"/>
  <c r="C380" i="12"/>
  <c r="C116" i="12"/>
  <c r="C107" i="12" s="1"/>
  <c r="D15" i="8"/>
  <c r="H116" i="12"/>
  <c r="H107" i="12" s="1"/>
  <c r="I99" i="8"/>
  <c r="I98" i="8"/>
  <c r="H98" i="8"/>
  <c r="H99" i="8"/>
  <c r="L98" i="8"/>
  <c r="K99" i="8"/>
  <c r="L99" i="8"/>
  <c r="K98" i="8"/>
  <c r="N99" i="8"/>
  <c r="N98" i="8"/>
  <c r="O98" i="8"/>
  <c r="O99" i="8"/>
  <c r="AL11" i="8"/>
  <c r="R98" i="8"/>
  <c r="R99" i="8"/>
  <c r="AK11" i="8"/>
  <c r="Q98" i="8"/>
  <c r="Q99" i="8"/>
  <c r="F98" i="8"/>
  <c r="F99" i="8"/>
  <c r="AI11" i="8"/>
  <c r="E98" i="8"/>
  <c r="E99" i="8"/>
  <c r="Q20" i="8"/>
  <c r="L20" i="8"/>
  <c r="O20" i="8"/>
  <c r="E20" i="8"/>
  <c r="E23" i="8" s="1"/>
  <c r="E24" i="8" s="1"/>
  <c r="H20" i="8"/>
  <c r="F20" i="8"/>
  <c r="K20" i="8"/>
  <c r="I20" i="8"/>
  <c r="N20" i="8"/>
  <c r="R20" i="8"/>
  <c r="J32" i="8"/>
  <c r="AJ11" i="8"/>
  <c r="C89" i="12" s="1"/>
  <c r="D32" i="8"/>
  <c r="G12" i="8"/>
  <c r="J12" i="8"/>
  <c r="P12" i="8"/>
  <c r="D12" i="8"/>
  <c r="M12" i="8"/>
  <c r="E6" i="8"/>
  <c r="F6" i="8"/>
  <c r="D6" i="8"/>
  <c r="AA6" i="16" s="1"/>
  <c r="L15" i="8"/>
  <c r="L22" i="8" s="1"/>
  <c r="K15" i="8"/>
  <c r="K22" i="8" s="1"/>
  <c r="J15" i="8"/>
  <c r="I15" i="8"/>
  <c r="I22" i="8" s="1"/>
  <c r="H15" i="8"/>
  <c r="H22" i="8" s="1"/>
  <c r="G15" i="8"/>
  <c r="G22" i="8" s="1"/>
  <c r="R15" i="8"/>
  <c r="R22" i="8" s="1"/>
  <c r="Q15" i="8"/>
  <c r="Q22" i="8" s="1"/>
  <c r="P15" i="8"/>
  <c r="O15" i="8"/>
  <c r="O22" i="8" s="1"/>
  <c r="N15" i="8"/>
  <c r="N22" i="8" s="1"/>
  <c r="M15" i="8"/>
  <c r="M22" i="8" s="1"/>
  <c r="AC15" i="16" l="1"/>
  <c r="P22" i="8"/>
  <c r="K59" i="12" s="1"/>
  <c r="AB15" i="16"/>
  <c r="J22" i="8"/>
  <c r="J59" i="12" s="1"/>
  <c r="AA15" i="16"/>
  <c r="D22" i="8"/>
  <c r="C351" i="12"/>
  <c r="C310" i="12" s="1"/>
  <c r="F351" i="12"/>
  <c r="E310" i="12" s="1"/>
  <c r="C371" i="12"/>
  <c r="D301" i="12" s="1"/>
  <c r="E371" i="12"/>
  <c r="F301" i="12" s="1"/>
  <c r="AD22" i="16"/>
  <c r="AD15" i="16"/>
  <c r="E56" i="12"/>
  <c r="E48" i="12" s="1"/>
  <c r="F89" i="12"/>
  <c r="C56" i="12"/>
  <c r="C48" i="12" s="1"/>
  <c r="K23" i="8"/>
  <c r="L23" i="8"/>
  <c r="H23" i="8"/>
  <c r="I23" i="8"/>
  <c r="N23" i="8"/>
  <c r="N24" i="8" s="1"/>
  <c r="Q23" i="8"/>
  <c r="Q24" i="8" s="1"/>
  <c r="R23" i="8"/>
  <c r="R24" i="8" s="1"/>
  <c r="O23" i="8"/>
  <c r="O24" i="8" s="1"/>
  <c r="AJ15" i="8"/>
  <c r="AK15" i="8"/>
  <c r="AL15" i="8"/>
  <c r="M97" i="8"/>
  <c r="M96" i="8"/>
  <c r="P96" i="8"/>
  <c r="P97" i="8"/>
  <c r="D96" i="8"/>
  <c r="D97" i="8"/>
  <c r="G97" i="8"/>
  <c r="G96" i="8"/>
  <c r="J96" i="8"/>
  <c r="J97" i="8"/>
  <c r="O6" i="8"/>
  <c r="H6" i="8"/>
  <c r="J6" i="8"/>
  <c r="AB6" i="16" s="1"/>
  <c r="N6" i="8"/>
  <c r="M6" i="8"/>
  <c r="G6" i="8"/>
  <c r="AD6" i="16" s="1"/>
  <c r="K6" i="8"/>
  <c r="I6" i="8"/>
  <c r="L6" i="8"/>
  <c r="E351" i="12" l="1"/>
  <c r="D310" i="12" s="1"/>
  <c r="H351" i="12"/>
  <c r="F310" i="12" s="1"/>
  <c r="F342" i="12"/>
  <c r="H342" i="12" s="1"/>
  <c r="E301" i="12"/>
  <c r="C342" i="12"/>
  <c r="E342" i="12" s="1"/>
  <c r="C301" i="12"/>
  <c r="E112" i="12"/>
  <c r="E90" i="12" s="1"/>
  <c r="AC22" i="16"/>
  <c r="J112" i="12"/>
  <c r="E376" i="12"/>
  <c r="F304" i="12" s="1"/>
  <c r="C112" i="12"/>
  <c r="C90" i="12" s="1"/>
  <c r="C376" i="12"/>
  <c r="D304" i="12" s="1"/>
  <c r="AB22" i="16"/>
  <c r="H112" i="12"/>
  <c r="H90" i="12" s="1"/>
  <c r="F112" i="12"/>
  <c r="F90" i="12" s="1"/>
  <c r="AA22" i="16"/>
  <c r="D23" i="8"/>
  <c r="AA23" i="16" s="1"/>
  <c r="G98" i="8"/>
  <c r="J99" i="8"/>
  <c r="G99" i="8"/>
  <c r="J98" i="8"/>
  <c r="M98" i="8"/>
  <c r="M99" i="8"/>
  <c r="P98" i="8"/>
  <c r="P99" i="8"/>
  <c r="D98" i="8"/>
  <c r="D99" i="8"/>
  <c r="M20" i="8"/>
  <c r="M23" i="8" s="1"/>
  <c r="P23" i="8"/>
  <c r="G20" i="8"/>
  <c r="AD20" i="16" s="1"/>
  <c r="E21" i="8"/>
  <c r="N21" i="8"/>
  <c r="O21" i="8"/>
  <c r="Q21" i="8"/>
  <c r="R21" i="8"/>
  <c r="F347" i="12" l="1"/>
  <c r="E324" i="12" s="1"/>
  <c r="E304" i="12"/>
  <c r="C347" i="12"/>
  <c r="C324" i="12" s="1"/>
  <c r="C304" i="12"/>
  <c r="AC23" i="16"/>
  <c r="E377" i="12"/>
  <c r="F305" i="12" s="1"/>
  <c r="J113" i="12"/>
  <c r="C81" i="12"/>
  <c r="F81" i="12"/>
  <c r="D24" i="8"/>
  <c r="AA24" i="16" s="1"/>
  <c r="E111" i="12"/>
  <c r="G23" i="8"/>
  <c r="AD23" i="16" s="1"/>
  <c r="J23" i="8"/>
  <c r="H111" i="12"/>
  <c r="R25" i="8"/>
  <c r="R28" i="8" s="1"/>
  <c r="R26" i="8"/>
  <c r="N25" i="8"/>
  <c r="N28" i="8" s="1"/>
  <c r="N26" i="8"/>
  <c r="O25" i="8"/>
  <c r="O28" i="8" s="1"/>
  <c r="O26" i="8"/>
  <c r="Q25" i="8"/>
  <c r="Q28" i="8" s="1"/>
  <c r="Q26" i="8"/>
  <c r="E25" i="8"/>
  <c r="E26" i="8"/>
  <c r="E347" i="12" l="1"/>
  <c r="D324" i="12" s="1"/>
  <c r="H347" i="12"/>
  <c r="F324" i="12" s="1"/>
  <c r="F348" i="12"/>
  <c r="H348" i="12" s="1"/>
  <c r="E305" i="12"/>
  <c r="AB23" i="16"/>
  <c r="C377" i="12"/>
  <c r="D305" i="12" s="1"/>
  <c r="C113" i="12"/>
  <c r="H81" i="12"/>
  <c r="F59" i="12" s="1"/>
  <c r="E59" i="12"/>
  <c r="E81" i="12"/>
  <c r="D59" i="12" s="1"/>
  <c r="C59" i="12"/>
  <c r="J24" i="8"/>
  <c r="H113" i="12"/>
  <c r="P24" i="8"/>
  <c r="M21" i="8"/>
  <c r="M24" i="8"/>
  <c r="P21" i="8"/>
  <c r="F111" i="12"/>
  <c r="Z62" i="8"/>
  <c r="W62" i="8"/>
  <c r="AG61" i="8"/>
  <c r="AD61" i="8"/>
  <c r="Z61" i="8"/>
  <c r="W61" i="8"/>
  <c r="AG60" i="8"/>
  <c r="AD60" i="8"/>
  <c r="Z60" i="8"/>
  <c r="W60" i="8"/>
  <c r="AG59" i="8"/>
  <c r="AD59" i="8"/>
  <c r="Z58" i="8"/>
  <c r="W58" i="8"/>
  <c r="AG58" i="8"/>
  <c r="AD58" i="8"/>
  <c r="Y31" i="8"/>
  <c r="X31" i="8"/>
  <c r="W31" i="8"/>
  <c r="W32" i="8" s="1"/>
  <c r="V31" i="8"/>
  <c r="D102" i="12" s="1"/>
  <c r="D79" i="12" s="1"/>
  <c r="AF31" i="8"/>
  <c r="AF32" i="8" s="1"/>
  <c r="AE31" i="8"/>
  <c r="AE32" i="8" s="1"/>
  <c r="AD31" i="8"/>
  <c r="AD32" i="8" s="1"/>
  <c r="AC31" i="8"/>
  <c r="AC32" i="8" s="1"/>
  <c r="AB17" i="8"/>
  <c r="Y12" i="8"/>
  <c r="Y23" i="8" s="1"/>
  <c r="R13" i="12" s="1"/>
  <c r="X12" i="8"/>
  <c r="X23" i="8" s="1"/>
  <c r="Q13" i="12" s="1"/>
  <c r="W12" i="8"/>
  <c r="W23" i="8" s="1"/>
  <c r="V12" i="8"/>
  <c r="V23" i="8" s="1"/>
  <c r="N13" i="12" s="1"/>
  <c r="U12" i="8"/>
  <c r="AF12" i="8"/>
  <c r="AF23" i="8" s="1"/>
  <c r="AE12" i="8"/>
  <c r="AE23" i="8" s="1"/>
  <c r="AD12" i="8"/>
  <c r="AD23" i="8" s="1"/>
  <c r="AC12" i="8"/>
  <c r="AC23" i="8" s="1"/>
  <c r="AB12" i="8"/>
  <c r="AB23" i="8" s="1"/>
  <c r="AB25" i="8" s="1"/>
  <c r="Y7" i="8"/>
  <c r="X7" i="8"/>
  <c r="W7" i="8"/>
  <c r="V7" i="8"/>
  <c r="V43" i="8" s="1"/>
  <c r="AF7" i="8"/>
  <c r="AE7" i="8"/>
  <c r="AD7" i="8"/>
  <c r="AC7" i="8"/>
  <c r="U6" i="8"/>
  <c r="AI6" i="8" s="1"/>
  <c r="AB6" i="8"/>
  <c r="Y5" i="8"/>
  <c r="X5" i="8"/>
  <c r="W5" i="8"/>
  <c r="V5" i="8"/>
  <c r="AF5" i="8"/>
  <c r="AE5" i="8"/>
  <c r="AD5" i="8"/>
  <c r="AC5" i="8"/>
  <c r="Y3" i="8"/>
  <c r="X3" i="8"/>
  <c r="W3" i="8"/>
  <c r="V3" i="8"/>
  <c r="AF3" i="8"/>
  <c r="AE3" i="8"/>
  <c r="AD3" i="8"/>
  <c r="AD17" i="8" s="1"/>
  <c r="AC3" i="8"/>
  <c r="O5" i="7"/>
  <c r="O6" i="7"/>
  <c r="O7" i="7"/>
  <c r="O8" i="7"/>
  <c r="O9" i="7"/>
  <c r="O10" i="7"/>
  <c r="O11" i="7"/>
  <c r="O12" i="7"/>
  <c r="O4" i="7"/>
  <c r="N5" i="7"/>
  <c r="N6" i="7"/>
  <c r="N7" i="7"/>
  <c r="N8" i="7"/>
  <c r="N9" i="7"/>
  <c r="N10" i="7"/>
  <c r="N11" i="7"/>
  <c r="N12" i="7"/>
  <c r="N4" i="7"/>
  <c r="M5" i="7"/>
  <c r="M6" i="7"/>
  <c r="M7" i="7"/>
  <c r="M8" i="7"/>
  <c r="M9" i="7"/>
  <c r="M4" i="7"/>
  <c r="P5" i="4"/>
  <c r="P6" i="4"/>
  <c r="P7" i="4"/>
  <c r="P8" i="4"/>
  <c r="P9" i="4"/>
  <c r="P10" i="4"/>
  <c r="P4" i="4"/>
  <c r="O5" i="4"/>
  <c r="O6" i="4"/>
  <c r="O7" i="4"/>
  <c r="O8" i="4"/>
  <c r="O9" i="4"/>
  <c r="O4" i="4"/>
  <c r="M5" i="4"/>
  <c r="M6" i="4"/>
  <c r="M7" i="4"/>
  <c r="M8" i="4"/>
  <c r="M9" i="4"/>
  <c r="M10" i="4"/>
  <c r="M4" i="4"/>
  <c r="H6" i="4"/>
  <c r="H7" i="4"/>
  <c r="H8" i="4"/>
  <c r="H10" i="4"/>
  <c r="H5" i="4"/>
  <c r="H14" i="7"/>
  <c r="H17" i="7"/>
  <c r="H5" i="7"/>
  <c r="H7" i="7"/>
  <c r="H9" i="7"/>
  <c r="H10" i="7"/>
  <c r="H4" i="7"/>
  <c r="C22" i="7"/>
  <c r="F13" i="7"/>
  <c r="B13" i="7"/>
  <c r="B6" i="7"/>
  <c r="Q16" i="4" l="1"/>
  <c r="R16" i="4" s="1"/>
  <c r="M21" i="7"/>
  <c r="M22" i="7"/>
  <c r="AS62" i="8" s="1"/>
  <c r="Y43" i="8"/>
  <c r="Y19" i="8" s="1"/>
  <c r="K58" i="12" s="1"/>
  <c r="C348" i="12"/>
  <c r="E348" i="12" s="1"/>
  <c r="C305" i="12"/>
  <c r="AJ5" i="8"/>
  <c r="V19" i="8"/>
  <c r="J58" i="12" s="1"/>
  <c r="X43" i="8"/>
  <c r="AL5" i="8"/>
  <c r="AK5" i="8"/>
  <c r="U23" i="8"/>
  <c r="U43" i="8"/>
  <c r="W43" i="8"/>
  <c r="W19" i="8" s="1"/>
  <c r="AC24" i="16"/>
  <c r="J114" i="12"/>
  <c r="E378" i="12"/>
  <c r="AB24" i="16"/>
  <c r="C378" i="12"/>
  <c r="C114" i="12"/>
  <c r="C71" i="12"/>
  <c r="X32" i="8"/>
  <c r="I102" i="12"/>
  <c r="Y32" i="8"/>
  <c r="K102" i="12"/>
  <c r="G79" i="12" s="1"/>
  <c r="H13" i="7"/>
  <c r="Q21" i="4"/>
  <c r="W17" i="8"/>
  <c r="W6" i="8"/>
  <c r="V32" i="8"/>
  <c r="AJ31" i="8"/>
  <c r="P25" i="8"/>
  <c r="Y6" i="8"/>
  <c r="AK6" i="8" s="1"/>
  <c r="AK3" i="8"/>
  <c r="M25" i="8"/>
  <c r="V6" i="8"/>
  <c r="AJ6" i="8" s="1"/>
  <c r="AJ3" i="8"/>
  <c r="X17" i="8"/>
  <c r="I116" i="12" s="1"/>
  <c r="I107" i="12" s="1"/>
  <c r="X6" i="8"/>
  <c r="AL6" i="8" s="1"/>
  <c r="AL3" i="8"/>
  <c r="Y20" i="8"/>
  <c r="K113" i="12"/>
  <c r="G69" i="12" s="1"/>
  <c r="H69" i="12" s="1"/>
  <c r="F35" i="12" s="1"/>
  <c r="X20" i="8"/>
  <c r="I113" i="12"/>
  <c r="I114" i="12" s="1"/>
  <c r="W20" i="8"/>
  <c r="V20" i="8"/>
  <c r="D113" i="12"/>
  <c r="D69" i="12" s="1"/>
  <c r="P26" i="8"/>
  <c r="AC26" i="16" s="1"/>
  <c r="M26" i="8"/>
  <c r="H114" i="12"/>
  <c r="F113" i="12"/>
  <c r="D21" i="8"/>
  <c r="H6" i="7"/>
  <c r="AL23" i="8"/>
  <c r="AL24" i="8"/>
  <c r="AK23" i="8"/>
  <c r="AK24" i="8"/>
  <c r="AB28" i="8"/>
  <c r="AG63" i="8"/>
  <c r="AF34" i="8" s="1"/>
  <c r="AF35" i="8" s="1"/>
  <c r="AD63" i="8"/>
  <c r="AD34" i="8" s="1"/>
  <c r="AD35" i="8" s="1"/>
  <c r="Y25" i="8"/>
  <c r="Y17" i="8"/>
  <c r="V25" i="8"/>
  <c r="D117" i="12" s="1"/>
  <c r="V17" i="8"/>
  <c r="Z63" i="8"/>
  <c r="AD25" i="8"/>
  <c r="AD28" i="8" s="1"/>
  <c r="AF25" i="8"/>
  <c r="AC25" i="8"/>
  <c r="W63" i="8"/>
  <c r="X25" i="8"/>
  <c r="I117" i="12" s="1"/>
  <c r="W25" i="8"/>
  <c r="AF17" i="8"/>
  <c r="AE25" i="8"/>
  <c r="AE17" i="8"/>
  <c r="AC17" i="8"/>
  <c r="C4" i="7"/>
  <c r="C18" i="7" s="1"/>
  <c r="B14" i="4"/>
  <c r="F14" i="4"/>
  <c r="F39" i="2"/>
  <c r="E35" i="2"/>
  <c r="C35" i="2"/>
  <c r="E34" i="2"/>
  <c r="C34" i="2"/>
  <c r="E33" i="2"/>
  <c r="C33" i="2"/>
  <c r="E32" i="2"/>
  <c r="C32" i="2"/>
  <c r="C31" i="2"/>
  <c r="E30" i="2"/>
  <c r="C30" i="2"/>
  <c r="C29" i="2"/>
  <c r="E28" i="2"/>
  <c r="C28" i="2"/>
  <c r="C27" i="2"/>
  <c r="F26" i="2"/>
  <c r="D26" i="2"/>
  <c r="D39" i="2" s="1"/>
  <c r="E26" i="2"/>
  <c r="C26" i="2"/>
  <c r="E25" i="2"/>
  <c r="C25" i="2"/>
  <c r="C24" i="2"/>
  <c r="E23" i="2"/>
  <c r="C23" i="2"/>
  <c r="E22" i="2"/>
  <c r="C22" i="2"/>
  <c r="C21" i="2"/>
  <c r="F6" i="2"/>
  <c r="B6" i="2"/>
  <c r="K18" i="4" l="1"/>
  <c r="K19" i="4"/>
  <c r="AT62" i="8" s="1"/>
  <c r="U19" i="8"/>
  <c r="P13" i="12"/>
  <c r="C349" i="12"/>
  <c r="C325" i="12" s="1"/>
  <c r="F349" i="12"/>
  <c r="H349" i="12" s="1"/>
  <c r="F325" i="12" s="1"/>
  <c r="X19" i="8"/>
  <c r="U25" i="8"/>
  <c r="G117" i="12" s="1"/>
  <c r="U20" i="8"/>
  <c r="AI20" i="8" s="1"/>
  <c r="AI23" i="8"/>
  <c r="G113" i="12"/>
  <c r="G114" i="12" s="1"/>
  <c r="AC25" i="16"/>
  <c r="J117" i="12"/>
  <c r="E381" i="12"/>
  <c r="C37" i="12"/>
  <c r="D114" i="12"/>
  <c r="D70" i="12" s="1"/>
  <c r="W28" i="8"/>
  <c r="R21" i="4"/>
  <c r="AZ4" i="8"/>
  <c r="G25" i="9"/>
  <c r="BB4" i="8"/>
  <c r="AS61" i="8"/>
  <c r="R24" i="4"/>
  <c r="AL17" i="8"/>
  <c r="M28" i="8"/>
  <c r="P28" i="8"/>
  <c r="H117" i="12"/>
  <c r="X34" i="8"/>
  <c r="X35" i="8" s="1"/>
  <c r="Z64" i="8"/>
  <c r="W34" i="8"/>
  <c r="W36" i="8" s="1"/>
  <c r="W64" i="8"/>
  <c r="K111" i="12"/>
  <c r="F80" i="12" s="1"/>
  <c r="AK20" i="8"/>
  <c r="K114" i="12"/>
  <c r="G70" i="12" s="1"/>
  <c r="H70" i="12" s="1"/>
  <c r="F36" i="12" s="1"/>
  <c r="F82" i="12"/>
  <c r="I111" i="12"/>
  <c r="AL20" i="8"/>
  <c r="AK25" i="8"/>
  <c r="AK26" i="8" s="1"/>
  <c r="K117" i="12"/>
  <c r="AK17" i="8"/>
  <c r="K116" i="12"/>
  <c r="D111" i="12"/>
  <c r="C80" i="12" s="1"/>
  <c r="AJ17" i="8"/>
  <c r="D116" i="12"/>
  <c r="D89" i="12" s="1"/>
  <c r="F114" i="12"/>
  <c r="D25" i="8"/>
  <c r="AA25" i="16" s="1"/>
  <c r="D26" i="8"/>
  <c r="AA26" i="16" s="1"/>
  <c r="AI24" i="8"/>
  <c r="X28" i="8"/>
  <c r="I118" i="12" s="1"/>
  <c r="AL25" i="8"/>
  <c r="AL26" i="8" s="1"/>
  <c r="AE34" i="8"/>
  <c r="AE35" i="8" s="1"/>
  <c r="Y28" i="8"/>
  <c r="V28" i="8"/>
  <c r="AC34" i="8"/>
  <c r="AC35" i="8" s="1"/>
  <c r="AB34" i="8"/>
  <c r="AB35" i="8" s="1"/>
  <c r="Y34" i="8"/>
  <c r="AC28" i="8"/>
  <c r="AF28" i="8"/>
  <c r="V34" i="8"/>
  <c r="AE28" i="8"/>
  <c r="U34" i="8"/>
  <c r="AF36" i="8"/>
  <c r="AD36" i="8"/>
  <c r="AD38" i="8" s="1"/>
  <c r="H9" i="4"/>
  <c r="C4" i="4"/>
  <c r="H14" i="4"/>
  <c r="C6" i="7"/>
  <c r="C7" i="7"/>
  <c r="C8" i="7"/>
  <c r="C9" i="7"/>
  <c r="C10" i="7"/>
  <c r="C11" i="7"/>
  <c r="C12" i="7"/>
  <c r="C13" i="7"/>
  <c r="C14" i="7"/>
  <c r="C15" i="7"/>
  <c r="C16" i="7"/>
  <c r="C17" i="7"/>
  <c r="C19" i="7"/>
  <c r="C20" i="7"/>
  <c r="C5" i="7"/>
  <c r="G111" i="12" l="1"/>
  <c r="R27" i="4"/>
  <c r="I25" i="9" s="1"/>
  <c r="E325" i="12"/>
  <c r="E349" i="12"/>
  <c r="D325" i="12" s="1"/>
  <c r="F352" i="12"/>
  <c r="E311" i="12" s="1"/>
  <c r="F313" i="12" s="1"/>
  <c r="U28" i="8"/>
  <c r="G118" i="12" s="1"/>
  <c r="E382" i="12"/>
  <c r="J118" i="12"/>
  <c r="D20" i="12" s="1"/>
  <c r="D285" i="12" s="1"/>
  <c r="G89" i="12"/>
  <c r="H89" i="12" s="1"/>
  <c r="F48" i="12" s="1"/>
  <c r="F83" i="12"/>
  <c r="E58" i="12"/>
  <c r="H80" i="12"/>
  <c r="F58" i="12" s="1"/>
  <c r="C58" i="12"/>
  <c r="E80" i="12"/>
  <c r="D58" i="12" s="1"/>
  <c r="H82" i="12"/>
  <c r="W38" i="8"/>
  <c r="F86" i="12"/>
  <c r="H86" i="12" s="1"/>
  <c r="AF29" i="8"/>
  <c r="Y29" i="8"/>
  <c r="AC28" i="16"/>
  <c r="R28" i="4"/>
  <c r="CH4" i="8" s="1"/>
  <c r="CF4" i="8"/>
  <c r="BP4" i="8"/>
  <c r="CF40" i="8" s="1"/>
  <c r="H25" i="9"/>
  <c r="BR4" i="8"/>
  <c r="CH40" i="8" s="1"/>
  <c r="AT61" i="8"/>
  <c r="H118" i="12"/>
  <c r="H20" i="12" s="1"/>
  <c r="F117" i="12"/>
  <c r="I109" i="12"/>
  <c r="I110" i="12" s="1"/>
  <c r="AL35" i="8"/>
  <c r="AL34" i="8"/>
  <c r="X36" i="8"/>
  <c r="I119" i="12" s="1"/>
  <c r="W35" i="8"/>
  <c r="C85" i="12"/>
  <c r="D107" i="12"/>
  <c r="C41" i="12" s="1"/>
  <c r="D41" i="12" s="1"/>
  <c r="D33" i="12" s="1"/>
  <c r="F85" i="12"/>
  <c r="H85" i="12" s="1"/>
  <c r="K107" i="12"/>
  <c r="E41" i="12" s="1"/>
  <c r="F41" i="12" s="1"/>
  <c r="F33" i="12" s="1"/>
  <c r="K118" i="12"/>
  <c r="D118" i="12"/>
  <c r="AI25" i="8"/>
  <c r="AI26" i="8" s="1"/>
  <c r="AQ8" i="8"/>
  <c r="AL28" i="8"/>
  <c r="U35" i="8"/>
  <c r="AI34" i="8"/>
  <c r="Y35" i="8"/>
  <c r="AK34" i="8"/>
  <c r="V35" i="8"/>
  <c r="AJ34" i="8"/>
  <c r="AU8" i="8"/>
  <c r="AK28" i="8"/>
  <c r="AE36" i="8"/>
  <c r="AE38" i="8" s="1"/>
  <c r="U36" i="8"/>
  <c r="AC36" i="8"/>
  <c r="AC38" i="8" s="1"/>
  <c r="Y36" i="8"/>
  <c r="V36" i="8"/>
  <c r="AB36" i="8"/>
  <c r="AB38" i="8" s="1"/>
  <c r="AF38" i="8"/>
  <c r="C6" i="4"/>
  <c r="C7" i="4"/>
  <c r="C8" i="4"/>
  <c r="C9" i="4"/>
  <c r="C10" i="4"/>
  <c r="C11" i="4"/>
  <c r="C12" i="4"/>
  <c r="C13" i="4"/>
  <c r="C14" i="4"/>
  <c r="C15" i="4"/>
  <c r="C16" i="4"/>
  <c r="C5" i="4"/>
  <c r="H352" i="12" l="1"/>
  <c r="F311" i="12" s="1"/>
  <c r="F353" i="12"/>
  <c r="D286" i="12"/>
  <c r="H83" i="12"/>
  <c r="F60" i="12" s="1"/>
  <c r="E60" i="12"/>
  <c r="C46" i="12"/>
  <c r="E85" i="12"/>
  <c r="D46" i="12" s="1"/>
  <c r="E47" i="12"/>
  <c r="F47" i="12"/>
  <c r="E46" i="12"/>
  <c r="F46" i="12"/>
  <c r="C76" i="12"/>
  <c r="E76" i="12" s="1"/>
  <c r="F76" i="12"/>
  <c r="H76" i="12" s="1"/>
  <c r="AF39" i="8"/>
  <c r="H21" i="12"/>
  <c r="K109" i="12"/>
  <c r="AK35" i="8"/>
  <c r="D109" i="12"/>
  <c r="AJ35" i="8"/>
  <c r="G109" i="12"/>
  <c r="G110" i="12" s="1"/>
  <c r="AI35" i="8"/>
  <c r="X38" i="8"/>
  <c r="L10" i="9" s="1"/>
  <c r="F87" i="12"/>
  <c r="D21" i="12"/>
  <c r="V38" i="8"/>
  <c r="D119" i="12"/>
  <c r="Y38" i="8"/>
  <c r="K119" i="12"/>
  <c r="U38" i="8"/>
  <c r="G119" i="12"/>
  <c r="E113" i="12"/>
  <c r="AU7" i="8" l="1"/>
  <c r="AT59" i="8"/>
  <c r="AT60" i="8"/>
  <c r="AQ7" i="8"/>
  <c r="BB5" i="8" s="1"/>
  <c r="AS59" i="8"/>
  <c r="AS60" i="8"/>
  <c r="F49" i="12"/>
  <c r="BP5" i="8"/>
  <c r="BR5" i="8"/>
  <c r="BS65" i="8"/>
  <c r="BR65" i="8" s="1"/>
  <c r="CG65" i="8"/>
  <c r="C78" i="12"/>
  <c r="D110" i="12"/>
  <c r="D71" i="12" s="1"/>
  <c r="F78" i="12"/>
  <c r="K110" i="12"/>
  <c r="I120" i="12"/>
  <c r="H24" i="12"/>
  <c r="G10" i="9"/>
  <c r="G33" i="9" s="1"/>
  <c r="C24" i="12"/>
  <c r="D120" i="12"/>
  <c r="D91" i="12" s="1"/>
  <c r="H10" i="9"/>
  <c r="H33" i="9" s="1"/>
  <c r="D24" i="12"/>
  <c r="K120" i="12"/>
  <c r="Y39" i="8"/>
  <c r="K10" i="9"/>
  <c r="G24" i="12"/>
  <c r="G120" i="12"/>
  <c r="G91" i="12" s="1"/>
  <c r="L21" i="8"/>
  <c r="L24" i="8"/>
  <c r="L26" i="8" s="1"/>
  <c r="G21" i="8"/>
  <c r="G24" i="8"/>
  <c r="AD24" i="16" s="1"/>
  <c r="I21" i="8"/>
  <c r="I24" i="8"/>
  <c r="I26" i="8" s="1"/>
  <c r="H21" i="8"/>
  <c r="H24" i="8"/>
  <c r="H26" i="8" s="1"/>
  <c r="BC68" i="8" l="1"/>
  <c r="BB68" i="8" s="1"/>
  <c r="AZ5" i="8"/>
  <c r="BP1" i="8"/>
  <c r="AR62" i="8"/>
  <c r="AR63" i="8"/>
  <c r="G71" i="12"/>
  <c r="H71" i="12" s="1"/>
  <c r="E71" i="12"/>
  <c r="D37" i="12" s="1"/>
  <c r="F79" i="12"/>
  <c r="E61" i="12" s="1"/>
  <c r="C79" i="12"/>
  <c r="BB1" i="8"/>
  <c r="F24" i="12"/>
  <c r="C25" i="12"/>
  <c r="O10" i="9"/>
  <c r="CF5" i="8"/>
  <c r="CH5" i="8"/>
  <c r="CH41" i="8"/>
  <c r="BR1" i="8"/>
  <c r="AR61" i="8" s="1"/>
  <c r="CF41" i="8"/>
  <c r="CH65" i="8"/>
  <c r="CI65" i="8" s="1"/>
  <c r="H24" i="9"/>
  <c r="G26" i="8"/>
  <c r="AD26" i="16" s="1"/>
  <c r="E114" i="12"/>
  <c r="I10" i="9"/>
  <c r="I33" i="9" s="1"/>
  <c r="E24" i="12"/>
  <c r="K21" i="8"/>
  <c r="K24" i="8"/>
  <c r="K26" i="8" s="1"/>
  <c r="J21" i="8"/>
  <c r="AJ23" i="8"/>
  <c r="G25" i="8"/>
  <c r="AD25" i="16" s="1"/>
  <c r="I25" i="8"/>
  <c r="I28" i="8" s="1"/>
  <c r="L25" i="8"/>
  <c r="L28" i="8" s="1"/>
  <c r="R29" i="8" s="1"/>
  <c r="H25" i="8"/>
  <c r="H28" i="8" s="1"/>
  <c r="AZ1" i="8" l="1"/>
  <c r="AQ62" i="8"/>
  <c r="AQ63" i="8"/>
  <c r="H72" i="12"/>
  <c r="F37" i="12"/>
  <c r="F38" i="12" s="1"/>
  <c r="E79" i="12"/>
  <c r="D61" i="12" s="1"/>
  <c r="C61" i="12"/>
  <c r="F25" i="12"/>
  <c r="C82" i="12"/>
  <c r="E69" i="12"/>
  <c r="D35" i="12" s="1"/>
  <c r="I20" i="9"/>
  <c r="E25" i="12" s="1"/>
  <c r="H26" i="9"/>
  <c r="AJ20" i="8"/>
  <c r="G28" i="8"/>
  <c r="AD28" i="16" s="1"/>
  <c r="H286" i="12" s="1"/>
  <c r="E117" i="12"/>
  <c r="AJ24" i="8"/>
  <c r="J26" i="8"/>
  <c r="AB26" i="16" s="1"/>
  <c r="J25" i="8"/>
  <c r="K25" i="8"/>
  <c r="K28" i="8" s="1"/>
  <c r="Q29" i="8" s="1"/>
  <c r="F15" i="8"/>
  <c r="F22" i="8" s="1"/>
  <c r="AB25" i="16" l="1"/>
  <c r="C117" i="12"/>
  <c r="C381" i="12"/>
  <c r="C83" i="12"/>
  <c r="E70" i="12"/>
  <c r="D36" i="12" s="1"/>
  <c r="D38" i="12" s="1"/>
  <c r="E82" i="12"/>
  <c r="J28" i="8"/>
  <c r="F23" i="8"/>
  <c r="F24" i="8" s="1"/>
  <c r="E118" i="12"/>
  <c r="I20" i="12" s="1"/>
  <c r="H285" i="12" s="1"/>
  <c r="AJ25" i="8"/>
  <c r="AJ26" i="8" s="1"/>
  <c r="E28" i="8"/>
  <c r="C352" i="12" l="1"/>
  <c r="C311" i="12" s="1"/>
  <c r="D313" i="12" s="1"/>
  <c r="AB28" i="16"/>
  <c r="AC29" i="16" s="1"/>
  <c r="C382" i="12"/>
  <c r="C118" i="12"/>
  <c r="E83" i="12"/>
  <c r="D60" i="12" s="1"/>
  <c r="C60" i="12"/>
  <c r="C86" i="12"/>
  <c r="E86" i="12" s="1"/>
  <c r="D47" i="12" s="1"/>
  <c r="E89" i="12"/>
  <c r="D48" i="12" s="1"/>
  <c r="E72" i="12"/>
  <c r="P29" i="8"/>
  <c r="F25" i="8"/>
  <c r="F28" i="8" s="1"/>
  <c r="F21" i="8"/>
  <c r="AI17" i="8"/>
  <c r="F116" i="12"/>
  <c r="F107" i="12" s="1"/>
  <c r="AJ28" i="8"/>
  <c r="AK29" i="8" s="1"/>
  <c r="D28" i="8"/>
  <c r="AA28" i="16" s="1"/>
  <c r="G286" i="12" s="1"/>
  <c r="E352" i="12" l="1"/>
  <c r="D311" i="12" s="1"/>
  <c r="C353" i="12"/>
  <c r="C286" i="12"/>
  <c r="F286" i="12" s="1"/>
  <c r="C47" i="12"/>
  <c r="D49" i="12" s="1"/>
  <c r="F26" i="8"/>
  <c r="C87" i="12"/>
  <c r="C20" i="12"/>
  <c r="C285" i="12" s="1"/>
  <c r="C21" i="12"/>
  <c r="AI15" i="8"/>
  <c r="F118" i="12"/>
  <c r="G21" i="12" s="1"/>
  <c r="AI28" i="8"/>
  <c r="H36" i="8"/>
  <c r="H38" i="8" s="1"/>
  <c r="K31" i="8"/>
  <c r="AK31" i="8" s="1"/>
  <c r="O31" i="8"/>
  <c r="R31" i="8"/>
  <c r="E36" i="8"/>
  <c r="E38" i="8" s="1"/>
  <c r="L31" i="8"/>
  <c r="J36" i="8"/>
  <c r="Q31" i="8"/>
  <c r="N31" i="8"/>
  <c r="M31" i="8"/>
  <c r="H102" i="12" s="1"/>
  <c r="F36" i="8"/>
  <c r="F38" i="8" s="1"/>
  <c r="P31" i="8"/>
  <c r="G36" i="8"/>
  <c r="AD36" i="16" s="1"/>
  <c r="D36" i="8"/>
  <c r="AA36" i="16" s="1"/>
  <c r="I36" i="8"/>
  <c r="I38" i="8" s="1"/>
  <c r="AC31" i="16" l="1"/>
  <c r="J102" i="12"/>
  <c r="E366" i="12"/>
  <c r="E286" i="12"/>
  <c r="C383" i="12"/>
  <c r="C119" i="12"/>
  <c r="C88" i="12" s="1"/>
  <c r="AB36" i="16"/>
  <c r="T28" i="9" s="1"/>
  <c r="T27" i="9"/>
  <c r="E20" i="12"/>
  <c r="E285" i="12" s="1"/>
  <c r="F20" i="12"/>
  <c r="F285" i="12" s="1"/>
  <c r="F21" i="12"/>
  <c r="E21" i="12"/>
  <c r="CH37" i="8"/>
  <c r="AQ61" i="8"/>
  <c r="G24" i="9"/>
  <c r="CF37" i="8"/>
  <c r="H79" i="12"/>
  <c r="F61" i="12" s="1"/>
  <c r="AL31" i="8"/>
  <c r="J38" i="8"/>
  <c r="G20" i="12"/>
  <c r="G285" i="12" s="1"/>
  <c r="G38" i="8"/>
  <c r="E119" i="12"/>
  <c r="F119" i="12"/>
  <c r="G40" i="8"/>
  <c r="D40" i="8"/>
  <c r="D38" i="8"/>
  <c r="AI36" i="8"/>
  <c r="AJ36" i="8"/>
  <c r="N32" i="8"/>
  <c r="N36" i="8" s="1"/>
  <c r="N38" i="8" s="1"/>
  <c r="R32" i="8"/>
  <c r="R36" i="8" s="1"/>
  <c r="R38" i="8" s="1"/>
  <c r="L32" i="8"/>
  <c r="L36" i="8" s="1"/>
  <c r="L38" i="8" s="1"/>
  <c r="Q32" i="8"/>
  <c r="Q36" i="8" s="1"/>
  <c r="Q38" i="8" s="1"/>
  <c r="M32" i="8"/>
  <c r="M36" i="8" s="1"/>
  <c r="K32" i="8"/>
  <c r="K36" i="8" s="1"/>
  <c r="K38" i="8" s="1"/>
  <c r="O32" i="8"/>
  <c r="O36" i="8" s="1"/>
  <c r="O38" i="8" s="1"/>
  <c r="P32" i="8"/>
  <c r="P36" i="8" s="1"/>
  <c r="C354" i="12" l="1"/>
  <c r="E88" i="12"/>
  <c r="D50" i="12" s="1"/>
  <c r="D51" i="12" s="1"/>
  <c r="D62" i="12" s="1"/>
  <c r="M8" i="9"/>
  <c r="AD38" i="16"/>
  <c r="H290" i="12" s="1"/>
  <c r="H288" i="12" s="1"/>
  <c r="J119" i="12"/>
  <c r="F88" i="12" s="1"/>
  <c r="E383" i="12"/>
  <c r="G8" i="9"/>
  <c r="T9" i="9" s="1"/>
  <c r="C120" i="12"/>
  <c r="C91" i="12" s="1"/>
  <c r="C384" i="12"/>
  <c r="AC36" i="16"/>
  <c r="U28" i="9" s="1"/>
  <c r="U27" i="9"/>
  <c r="AA38" i="16"/>
  <c r="G290" i="12" s="1"/>
  <c r="G288" i="12" s="1"/>
  <c r="K8" i="9"/>
  <c r="K11" i="9" s="1"/>
  <c r="AB38" i="16"/>
  <c r="BC64" i="8"/>
  <c r="BB64" i="8" s="1"/>
  <c r="BB2" i="8"/>
  <c r="AZ2" i="8"/>
  <c r="G26" i="9"/>
  <c r="R39" i="8"/>
  <c r="E120" i="12"/>
  <c r="AJ38" i="8"/>
  <c r="Q39" i="8"/>
  <c r="H119" i="12"/>
  <c r="AI38" i="8"/>
  <c r="F120" i="12"/>
  <c r="F91" i="12" s="1"/>
  <c r="J40" i="8"/>
  <c r="M40" i="8"/>
  <c r="P40" i="8"/>
  <c r="M38" i="8"/>
  <c r="AL36" i="8"/>
  <c r="P38" i="8"/>
  <c r="AK36" i="8"/>
  <c r="E354" i="12" l="1"/>
  <c r="D314" i="12" s="1"/>
  <c r="D315" i="12" s="1"/>
  <c r="C314" i="12"/>
  <c r="C385" i="12"/>
  <c r="F354" i="12"/>
  <c r="D56" i="12"/>
  <c r="D39" i="12"/>
  <c r="E39" i="12" s="1"/>
  <c r="H88" i="12"/>
  <c r="F50" i="12" s="1"/>
  <c r="F51" i="12" s="1"/>
  <c r="G32" i="9"/>
  <c r="G11" i="9"/>
  <c r="J120" i="12"/>
  <c r="E384" i="12"/>
  <c r="I22" i="12"/>
  <c r="H289" i="12" s="1"/>
  <c r="H287" i="12" s="1"/>
  <c r="E91" i="12"/>
  <c r="P41" i="8"/>
  <c r="BP2" i="8"/>
  <c r="CF38" i="8" s="1"/>
  <c r="H8" i="9"/>
  <c r="AC38" i="16"/>
  <c r="AC39" i="16" s="1"/>
  <c r="BS62" i="8"/>
  <c r="BR62" i="8" s="1"/>
  <c r="BR2" i="8"/>
  <c r="CH38" i="8" s="1"/>
  <c r="CH61" i="8"/>
  <c r="AQ60" i="8"/>
  <c r="AQ59" i="8"/>
  <c r="C22" i="12"/>
  <c r="C289" i="12" s="1"/>
  <c r="C287" i="12" s="1"/>
  <c r="C121" i="12"/>
  <c r="AL38" i="8"/>
  <c r="H120" i="12"/>
  <c r="H91" i="12" s="1"/>
  <c r="P39" i="8"/>
  <c r="I8" i="9" s="1"/>
  <c r="G22" i="12"/>
  <c r="G289" i="12" s="1"/>
  <c r="G287" i="12" s="1"/>
  <c r="F121" i="12"/>
  <c r="G23" i="12" s="1"/>
  <c r="AK38" i="8"/>
  <c r="AK39" i="8" s="1"/>
  <c r="CG61" i="8" l="1"/>
  <c r="AR59" i="8"/>
  <c r="AR60" i="8"/>
  <c r="D327" i="12"/>
  <c r="D321" i="12" s="1"/>
  <c r="H354" i="12"/>
  <c r="F314" i="12" s="1"/>
  <c r="F315" i="12" s="1"/>
  <c r="E314" i="12"/>
  <c r="C315" i="12"/>
  <c r="E385" i="12"/>
  <c r="D290" i="12" s="1"/>
  <c r="C290" i="12"/>
  <c r="C288" i="12" s="1"/>
  <c r="F62" i="12"/>
  <c r="C23" i="12"/>
  <c r="C51" i="12"/>
  <c r="V9" i="9"/>
  <c r="I11" i="9"/>
  <c r="U9" i="9"/>
  <c r="L11" i="9"/>
  <c r="H11" i="9"/>
  <c r="H32" i="9"/>
  <c r="O8" i="9"/>
  <c r="CI61" i="8"/>
  <c r="H22" i="12"/>
  <c r="H121" i="12"/>
  <c r="H23" i="12" s="1"/>
  <c r="D22" i="12"/>
  <c r="J121" i="12"/>
  <c r="F290" i="12" l="1"/>
  <c r="F288" i="12" s="1"/>
  <c r="F327" i="12"/>
  <c r="F321" i="12" s="1"/>
  <c r="E315" i="12"/>
  <c r="F56" i="12"/>
  <c r="F39" i="12"/>
  <c r="G39" i="12" s="1"/>
  <c r="D288" i="12"/>
  <c r="E290" i="12"/>
  <c r="E288" i="12" s="1"/>
  <c r="F22" i="12"/>
  <c r="F289" i="12" s="1"/>
  <c r="F287" i="12" s="1"/>
  <c r="D289" i="12"/>
  <c r="D287" i="12" s="1"/>
  <c r="D23" i="12"/>
  <c r="E51" i="12"/>
  <c r="CF1" i="8"/>
  <c r="CF2" i="8" s="1"/>
  <c r="CH1" i="8"/>
  <c r="CH2" i="8" s="1"/>
  <c r="W9" i="9"/>
  <c r="O11" i="9"/>
  <c r="E22" i="12"/>
  <c r="E289" i="12" s="1"/>
  <c r="E287" i="12" s="1"/>
  <c r="F23" i="12" l="1"/>
  <c r="E23" i="12"/>
  <c r="I24" i="9"/>
  <c r="I32" i="9" s="1"/>
  <c r="I26" i="9" l="1"/>
</calcChain>
</file>

<file path=xl/comments1.xml><?xml version="1.0" encoding="utf-8"?>
<comments xmlns="http://schemas.openxmlformats.org/spreadsheetml/2006/main">
  <authors>
    <author>djibril diakite</author>
  </authors>
  <commentList>
    <comment ref="G20" authorId="0">
      <text>
        <r>
          <rPr>
            <sz val="9"/>
            <color indexed="81"/>
            <rFont val="Tahoma"/>
            <family val="2"/>
          </rPr>
          <t>Vs. BRIO 2008 : 11.20%</t>
        </r>
      </text>
    </comment>
    <comment ref="H20" authorId="0">
      <text>
        <r>
          <rPr>
            <sz val="9"/>
            <color indexed="81"/>
            <rFont val="Tahoma"/>
            <family val="2"/>
          </rPr>
          <t xml:space="preserve">Vs. Mobile 2006 : 12.24%
</t>
        </r>
      </text>
    </comment>
  </commentList>
</comments>
</file>

<file path=xl/comments2.xml><?xml version="1.0" encoding="utf-8"?>
<comments xmlns="http://schemas.openxmlformats.org/spreadsheetml/2006/main">
  <authors>
    <author>Utilisateur</author>
    <author>djibril diakite</author>
    <author>ddiakite</author>
  </authors>
  <commentList>
    <comment ref="CJ1" authorId="0">
      <text>
        <r>
          <rPr>
            <sz val="9"/>
            <color indexed="81"/>
            <rFont val="Tahoma"/>
            <family val="2"/>
          </rPr>
          <t xml:space="preserve">Greece no longer excl. (was mainly because of large </t>
        </r>
        <r>
          <rPr>
            <sz val="9"/>
            <color indexed="81"/>
            <rFont val="Symbol"/>
            <family val="1"/>
            <charset val="2"/>
          </rPr>
          <t>D</t>
        </r>
        <r>
          <rPr>
            <sz val="9"/>
            <color indexed="81"/>
            <rFont val="Tahoma"/>
            <family val="2"/>
          </rPr>
          <t xml:space="preserve"> dates).
New Irish mob. incl.</t>
        </r>
      </text>
    </comment>
    <comment ref="D2" authorId="1">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G2" authorId="1">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J2" authorId="1">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M2" authorId="1">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P2" authorId="1">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AY3" authorId="0">
      <text>
        <r>
          <rPr>
            <sz val="9"/>
            <color indexed="81"/>
            <rFont val="Tahoma"/>
            <family val="2"/>
          </rPr>
          <t xml:space="preserve">= BIPT - Avg
</t>
        </r>
      </text>
    </comment>
    <comment ref="AQ4" authorId="0">
      <text>
        <r>
          <rPr>
            <sz val="9"/>
            <color indexed="81"/>
            <rFont val="Tahoma"/>
            <family val="2"/>
          </rPr>
          <t xml:space="preserve">Fixed Interconnection
</t>
        </r>
      </text>
    </comment>
    <comment ref="AR4" authorId="0">
      <text>
        <r>
          <rPr>
            <sz val="9"/>
            <color indexed="81"/>
            <rFont val="Tahoma"/>
            <family val="2"/>
          </rPr>
          <t xml:space="preserve"> = Local Loop Unbundling and Wholesale Broadband Access, based on copper</t>
        </r>
      </text>
    </comment>
    <comment ref="AS4" authorId="0">
      <text>
        <r>
          <rPr>
            <sz val="9"/>
            <color indexed="81"/>
            <rFont val="Tahoma"/>
            <family val="2"/>
          </rPr>
          <t>= Network deployments based on fibre (incl. FTTH, FTTB and the fibre part of FTTC).</t>
        </r>
      </text>
    </comment>
    <comment ref="AT4" authorId="0">
      <text>
        <r>
          <rPr>
            <sz val="9"/>
            <color indexed="81"/>
            <rFont val="Tahoma"/>
            <family val="2"/>
          </rPr>
          <t>= Duct access</t>
        </r>
      </text>
    </comment>
    <comment ref="U5" authorId="2">
      <text>
        <r>
          <rPr>
            <sz val="8"/>
            <color indexed="81"/>
            <rFont val="Tahoma"/>
            <family val="2"/>
          </rPr>
          <t>Instead of 5% pre-consultation</t>
        </r>
      </text>
    </comment>
    <comment ref="AQ5" authorId="0">
      <text>
        <r>
          <rPr>
            <sz val="9"/>
            <color indexed="81"/>
            <rFont val="Tahoma"/>
            <family val="2"/>
          </rPr>
          <t xml:space="preserve">Real pre-tax : 6,12%
After exponential smoothing (?) : 6,77%
</t>
        </r>
      </text>
    </comment>
    <comment ref="AU5" authorId="0">
      <text>
        <r>
          <rPr>
            <sz val="9"/>
            <color indexed="81"/>
            <rFont val="Tahoma"/>
            <family val="2"/>
          </rPr>
          <t xml:space="preserve">Real pre-tax : 6,12%
After exponential smoothing (?) : 7,15%
</t>
        </r>
      </text>
    </comment>
    <comment ref="AQ9" authorId="0">
      <text>
        <r>
          <rPr>
            <sz val="9"/>
            <color indexed="81"/>
            <rFont val="Tahoma"/>
            <family val="2"/>
          </rPr>
          <t xml:space="preserve">2013 : was 5,4%
</t>
        </r>
      </text>
    </comment>
    <comment ref="AU9" authorId="0">
      <text>
        <r>
          <rPr>
            <sz val="9"/>
            <color indexed="81"/>
            <rFont val="Tahoma"/>
            <family val="2"/>
          </rPr>
          <t xml:space="preserve">2013 : was 6,29%
</t>
        </r>
      </text>
    </comment>
    <comment ref="B10" authorId="1">
      <text>
        <r>
          <rPr>
            <sz val="9"/>
            <color indexed="81"/>
            <rFont val="Tahoma"/>
            <family val="2"/>
          </rPr>
          <t>Just for illustration</t>
        </r>
      </text>
    </comment>
    <comment ref="AQ10" authorId="0">
      <text>
        <r>
          <rPr>
            <sz val="9"/>
            <color indexed="81"/>
            <rFont val="Tahoma"/>
            <family val="2"/>
          </rPr>
          <t xml:space="preserve">Was 10,48%
</t>
        </r>
      </text>
    </comment>
    <comment ref="AS10" authorId="1">
      <text>
        <r>
          <rPr>
            <sz val="9"/>
            <color indexed="81"/>
            <rFont val="Tahoma"/>
            <family val="2"/>
          </rPr>
          <t>Was 15,14%</t>
        </r>
      </text>
    </comment>
    <comment ref="AU10" authorId="1">
      <text>
        <r>
          <rPr>
            <sz val="9"/>
            <color indexed="81"/>
            <rFont val="Tahoma"/>
            <family val="2"/>
          </rPr>
          <t xml:space="preserve">9,21% Vodafone (was 9.33%),
9,31 % Orange (was 9,51%),
10,91% Telefonica Moviles (was 10.48%)
</t>
        </r>
      </text>
    </comment>
    <comment ref="AP11" authorId="0">
      <text>
        <r>
          <rPr>
            <sz val="9"/>
            <color indexed="81"/>
            <rFont val="Tahoma"/>
            <family val="2"/>
          </rPr>
          <t>Memorandum</t>
        </r>
      </text>
    </comment>
    <comment ref="AQ11" authorId="0">
      <text>
        <r>
          <rPr>
            <sz val="9"/>
            <color indexed="81"/>
            <rFont val="Tahoma"/>
            <family val="2"/>
          </rPr>
          <t xml:space="preserve">Min was 6,1%
</t>
        </r>
      </text>
    </comment>
    <comment ref="AS11" authorId="0">
      <text>
        <r>
          <rPr>
            <sz val="9"/>
            <color indexed="81"/>
            <rFont val="Tahoma"/>
            <family val="2"/>
          </rPr>
          <t xml:space="preserve">Was 6,1% - 8,9%
</t>
        </r>
      </text>
    </comment>
    <comment ref="AU11" authorId="0">
      <text>
        <r>
          <rPr>
            <sz val="9"/>
            <color indexed="81"/>
            <rFont val="Tahoma"/>
            <family val="2"/>
          </rPr>
          <t xml:space="preserve">Min was 6,9%
</t>
        </r>
      </text>
    </comment>
    <comment ref="AQ13" authorId="0">
      <text>
        <r>
          <rPr>
            <sz val="9"/>
            <color indexed="81"/>
            <rFont val="Tahoma"/>
            <family val="2"/>
          </rPr>
          <t xml:space="preserve">Was 10,4% (April 2006)
</t>
        </r>
      </text>
    </comment>
    <comment ref="AP14" authorId="0">
      <text>
        <r>
          <rPr>
            <sz val="9"/>
            <color indexed="81"/>
            <rFont val="Tahoma"/>
            <family val="2"/>
          </rPr>
          <t>Consultation</t>
        </r>
      </text>
    </comment>
    <comment ref="AQ14" authorId="1">
      <text>
        <r>
          <rPr>
            <sz val="9"/>
            <color indexed="81"/>
            <rFont val="Tahoma"/>
            <family val="2"/>
          </rPr>
          <t xml:space="preserve">Currently 10,21%, on average (since May 2008)
</t>
        </r>
      </text>
    </comment>
    <comment ref="AU14" authorId="0">
      <text>
        <r>
          <rPr>
            <sz val="9"/>
            <color indexed="81"/>
            <rFont val="Tahoma"/>
            <family val="2"/>
          </rPr>
          <t>Also a proposal (vs. undecided previously)</t>
        </r>
      </text>
    </comment>
    <comment ref="AQ15" authorId="1">
      <text>
        <r>
          <rPr>
            <sz val="9"/>
            <color indexed="81"/>
            <rFont val="Tahoma"/>
            <family val="2"/>
          </rPr>
          <t>Set value = Nov. 2011 decision (vs. proposed 10,4%)</t>
        </r>
      </text>
    </comment>
    <comment ref="AR15" authorId="0">
      <text>
        <r>
          <rPr>
            <sz val="9"/>
            <color indexed="81"/>
            <rFont val="Tahoma"/>
            <family val="2"/>
          </rPr>
          <t>Proposed value. 
Currently = IC</t>
        </r>
      </text>
    </comment>
    <comment ref="AS15" authorId="1">
      <text>
        <r>
          <rPr>
            <sz val="9"/>
            <color indexed="81"/>
            <rFont val="Tahoma"/>
            <family val="2"/>
          </rPr>
          <t xml:space="preserve">Proposed premia for new infra :
+1,2% FFTC, +3,2% FTTH
</t>
        </r>
      </text>
    </comment>
    <comment ref="AU16" authorId="1">
      <text>
        <r>
          <rPr>
            <sz val="9"/>
            <color indexed="81"/>
            <rFont val="Tahoma"/>
            <family val="2"/>
          </rPr>
          <t xml:space="preserve">= proposed value in Feb. 2013.
Was 13,5% in previous decision (mentioned by Cullen in Sept 2013 but "2013" WACC 4 considered the proposed value).
</t>
        </r>
      </text>
    </comment>
    <comment ref="AO17" authorId="1">
      <text>
        <r>
          <rPr>
            <sz val="9"/>
            <color indexed="81"/>
            <rFont val="Tahoma"/>
            <family val="2"/>
          </rPr>
          <t xml:space="preserve">Study : "WACC for mobile, fixed-line and cable termination rates"
</t>
        </r>
      </text>
    </comment>
    <comment ref="AR17" authorId="0">
      <text>
        <r>
          <rPr>
            <sz val="9"/>
            <color indexed="81"/>
            <rFont val="Tahoma"/>
            <family val="2"/>
          </rPr>
          <t>May 29, 2013 (not previously mentioned : IC WACC was applied).</t>
        </r>
      </text>
    </comment>
    <comment ref="AS17" authorId="1">
      <text>
        <r>
          <rPr>
            <sz val="9"/>
            <color indexed="81"/>
            <rFont val="Tahoma"/>
            <family val="2"/>
          </rPr>
          <t xml:space="preserve">"(Undisclosed") risk premium on top of copper access"
</t>
        </r>
      </text>
    </comment>
    <comment ref="AO18" authorId="1">
      <text>
        <r>
          <rPr>
            <sz val="9"/>
            <color indexed="81"/>
            <rFont val="Tahoma"/>
            <family val="2"/>
          </rPr>
          <t xml:space="preserve">"For KPN's wholsale activities"
Marpij addition - not in Cullen's benchmark
</t>
        </r>
      </text>
    </comment>
    <comment ref="B20" authorId="1">
      <text>
        <r>
          <rPr>
            <sz val="9"/>
            <color indexed="81"/>
            <rFont val="Tahoma"/>
            <family val="2"/>
          </rPr>
          <t xml:space="preserve">Impact only if opposite </t>
        </r>
        <r>
          <rPr>
            <sz val="9"/>
            <color indexed="81"/>
            <rFont val="Arial"/>
            <family val="2"/>
          </rPr>
          <t>β</t>
        </r>
        <r>
          <rPr>
            <sz val="9"/>
            <color indexed="81"/>
            <rFont val="Tahoma"/>
            <family val="2"/>
          </rPr>
          <t xml:space="preserve">a input cells are forced
</t>
        </r>
      </text>
    </comment>
    <comment ref="AP20" authorId="0">
      <text>
        <r>
          <rPr>
            <sz val="9"/>
            <color indexed="81"/>
            <rFont val="Tahoma"/>
            <family val="2"/>
          </rPr>
          <t xml:space="preserve">Draft Statement
</t>
        </r>
      </text>
    </comment>
    <comment ref="AQ20" authorId="1">
      <text>
        <r>
          <rPr>
            <sz val="9"/>
            <color indexed="81"/>
            <rFont val="Tahoma"/>
            <family val="2"/>
          </rPr>
          <t xml:space="preserve">Was 8,8%
For Openreach, Ofcom stated (quote from "2013" WACC 4 comment) :
"As previously stated, what we describe as the cost of capital for Openreach is more specifically a rate for BT’s copper access services business. This definition still applies, although we will continue to refer to it as the ‘Openreach WACC'."
</t>
        </r>
      </text>
    </comment>
    <comment ref="AR20" authorId="0">
      <text>
        <r>
          <rPr>
            <sz val="9"/>
            <color indexed="81"/>
            <rFont val="Tahoma"/>
            <family val="2"/>
          </rPr>
          <t>8,6% = Openreach
10,8% = Rest of BT.</t>
        </r>
      </text>
    </comment>
    <comment ref="AT20" authorId="0">
      <text>
        <r>
          <rPr>
            <sz val="9"/>
            <color indexed="81"/>
            <rFont val="Tahoma"/>
            <family val="2"/>
          </rPr>
          <t xml:space="preserve">Openreach
</t>
        </r>
      </text>
    </comment>
    <comment ref="AQ21" authorId="1">
      <text>
        <r>
          <rPr>
            <sz val="9"/>
            <color indexed="81"/>
            <rFont val="Tahoma"/>
            <family val="2"/>
          </rPr>
          <t xml:space="preserve">= Proposed rate in Q2 2013 for application from FY 2014, and considered in "2013" WACC 4.
(Previously : 8,8% since Feb. 2011, 8,2%  before.)
</t>
        </r>
      </text>
    </comment>
    <comment ref="AU21" authorId="1">
      <text>
        <r>
          <rPr>
            <sz val="9"/>
            <color indexed="81"/>
            <rFont val="Tahoma"/>
            <family val="2"/>
          </rPr>
          <t xml:space="preserve">Proposal in April/May 2014.
Currently at 9,4% (and previously at 12,9%).
</t>
        </r>
      </text>
    </comment>
    <comment ref="AQ22" authorId="0">
      <text>
        <r>
          <rPr>
            <sz val="9"/>
            <color indexed="81"/>
            <rFont val="Tahoma"/>
            <family val="2"/>
          </rPr>
          <t xml:space="preserve">Was 5,4%
</t>
        </r>
      </text>
    </comment>
    <comment ref="AV24" authorId="0">
      <text>
        <r>
          <rPr>
            <sz val="9"/>
            <color indexed="81"/>
            <rFont val="Tahoma"/>
            <family val="2"/>
          </rPr>
          <t xml:space="preserve">(Luxemburg : undecided for all).
</t>
        </r>
      </text>
    </comment>
    <comment ref="AV25" authorId="0">
      <text>
        <r>
          <rPr>
            <sz val="9"/>
            <color indexed="81"/>
            <rFont val="Tahoma"/>
            <family val="2"/>
          </rPr>
          <t xml:space="preserve">Or Nera for ACM, a study with an unclear status (Brattle's initially released in 2012, almost at the same time as Nera's).
</t>
        </r>
      </text>
    </comment>
    <comment ref="U31" authorId="1">
      <text>
        <r>
          <rPr>
            <sz val="9"/>
            <color indexed="81"/>
            <rFont val="Tahoma"/>
            <family val="2"/>
          </rPr>
          <t xml:space="preserve">4.1% pre-consultation
</t>
        </r>
      </text>
    </comment>
    <comment ref="BE33" authorId="1">
      <text>
        <r>
          <rPr>
            <sz val="9"/>
            <color indexed="81"/>
            <rFont val="Tahoma"/>
            <family val="2"/>
          </rPr>
          <t xml:space="preserve">(without opening a "pandora box", i.e. updating parameters as well with methodologies considered by each NRA).
</t>
        </r>
      </text>
    </comment>
    <comment ref="CJ35" authorId="0">
      <text>
        <r>
          <rPr>
            <sz val="9"/>
            <color indexed="81"/>
            <rFont val="Tahoma"/>
            <family val="2"/>
          </rPr>
          <t>Differences not marginal although only CH does not set a Mobile WACC.</t>
        </r>
      </text>
    </comment>
  </commentList>
</comments>
</file>

<file path=xl/comments3.xml><?xml version="1.0" encoding="utf-8"?>
<comments xmlns="http://schemas.openxmlformats.org/spreadsheetml/2006/main">
  <authors>
    <author>djibril diakite</author>
    <author>ddiakite</author>
  </authors>
  <commentList>
    <comment ref="D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G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J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M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P2" authorId="0">
      <text>
        <r>
          <rPr>
            <sz val="9"/>
            <color indexed="81"/>
            <rFont val="Tahoma"/>
            <family val="2"/>
          </rPr>
          <t>N/a from 11Y</t>
        </r>
        <r>
          <rPr>
            <sz val="9"/>
            <color indexed="81"/>
            <rFont val="Symbol"/>
            <family val="1"/>
            <charset val="2"/>
          </rPr>
          <t>­</t>
        </r>
        <r>
          <rPr>
            <sz val="9"/>
            <color indexed="81"/>
            <rFont val="Tahoma"/>
            <family val="2"/>
          </rPr>
          <t xml:space="preserve"> &amp; BBB</t>
        </r>
        <r>
          <rPr>
            <sz val="9"/>
            <color indexed="81"/>
            <rFont val="Symbol"/>
            <family val="1"/>
            <charset val="2"/>
          </rPr>
          <t>¯</t>
        </r>
        <r>
          <rPr>
            <sz val="9"/>
            <color indexed="81"/>
            <rFont val="Tahoma"/>
            <family val="2"/>
          </rPr>
          <t xml:space="preserve">
</t>
        </r>
      </text>
    </comment>
    <comment ref="U5" authorId="1">
      <text>
        <r>
          <rPr>
            <sz val="8"/>
            <color indexed="81"/>
            <rFont val="Tahoma"/>
            <family val="2"/>
          </rPr>
          <t>Instead of 5% pre-consultation</t>
        </r>
      </text>
    </comment>
    <comment ref="B10" authorId="0">
      <text>
        <r>
          <rPr>
            <sz val="9"/>
            <color indexed="81"/>
            <rFont val="Tahoma"/>
            <family val="2"/>
          </rPr>
          <t>Just for illustration</t>
        </r>
      </text>
    </comment>
    <comment ref="B20" authorId="0">
      <text>
        <r>
          <rPr>
            <sz val="9"/>
            <color indexed="81"/>
            <rFont val="Tahoma"/>
            <family val="2"/>
          </rPr>
          <t xml:space="preserve">Impact only if opposite </t>
        </r>
        <r>
          <rPr>
            <sz val="9"/>
            <color indexed="81"/>
            <rFont val="Arial"/>
            <family val="2"/>
          </rPr>
          <t>β</t>
        </r>
        <r>
          <rPr>
            <sz val="9"/>
            <color indexed="81"/>
            <rFont val="Tahoma"/>
            <family val="2"/>
          </rPr>
          <t xml:space="preserve">a input cells are forced
</t>
        </r>
      </text>
    </comment>
    <comment ref="U31" authorId="0">
      <text>
        <r>
          <rPr>
            <sz val="9"/>
            <color indexed="81"/>
            <rFont val="Tahoma"/>
            <family val="2"/>
          </rPr>
          <t xml:space="preserve">4.1% pre-consultation
</t>
        </r>
      </text>
    </comment>
  </commentList>
</comments>
</file>

<file path=xl/comments4.xml><?xml version="1.0" encoding="utf-8"?>
<comments xmlns="http://schemas.openxmlformats.org/spreadsheetml/2006/main">
  <authors>
    <author>ddiakite</author>
  </authors>
  <commentList>
    <comment ref="A8" authorId="0">
      <text>
        <r>
          <rPr>
            <b/>
            <sz val="8"/>
            <color indexed="81"/>
            <rFont val="Tahoma"/>
            <family val="2"/>
          </rPr>
          <t>Dec 2008</t>
        </r>
        <r>
          <rPr>
            <sz val="8"/>
            <color indexed="81"/>
            <rFont val="Tahoma"/>
            <family val="2"/>
          </rPr>
          <t xml:space="preserve">
</t>
        </r>
      </text>
    </comment>
  </commentList>
</comments>
</file>

<file path=xl/comments5.xml><?xml version="1.0" encoding="utf-8"?>
<comments xmlns="http://schemas.openxmlformats.org/spreadsheetml/2006/main">
  <authors>
    <author>ddiakite</author>
  </authors>
  <commentList>
    <comment ref="O18" authorId="0">
      <text>
        <r>
          <rPr>
            <b/>
            <sz val="8"/>
            <color indexed="81"/>
            <rFont val="Tahoma"/>
            <family val="2"/>
          </rPr>
          <t>Dec 2008</t>
        </r>
        <r>
          <rPr>
            <sz val="8"/>
            <color indexed="81"/>
            <rFont val="Tahoma"/>
            <family val="2"/>
          </rPr>
          <t xml:space="preserve">
</t>
        </r>
      </text>
    </comment>
  </commentList>
</comments>
</file>

<file path=xl/sharedStrings.xml><?xml version="1.0" encoding="utf-8"?>
<sst xmlns="http://schemas.openxmlformats.org/spreadsheetml/2006/main" count="2015" uniqueCount="629">
  <si>
    <t>Rf</t>
  </si>
  <si>
    <t>Proximus</t>
  </si>
  <si>
    <t>Mobistar</t>
  </si>
  <si>
    <t>Belgacom</t>
  </si>
  <si>
    <t>Rnot</t>
  </si>
  <si>
    <t>Eb/E</t>
  </si>
  <si>
    <t>Beta économique</t>
  </si>
  <si>
    <t>Taux sans risque</t>
  </si>
  <si>
    <t>Prime de marché</t>
  </si>
  <si>
    <t xml:space="preserve">Taux d'imposition </t>
  </si>
  <si>
    <t>t</t>
  </si>
  <si>
    <t>βa</t>
  </si>
  <si>
    <t>Beta fonds propres</t>
  </si>
  <si>
    <t>Coût des fonds propres</t>
  </si>
  <si>
    <t>Prime de dette</t>
  </si>
  <si>
    <t>d</t>
  </si>
  <si>
    <t>Coût de la dette</t>
  </si>
  <si>
    <t>WACC avant impôt</t>
  </si>
  <si>
    <t>WACC après impôt</t>
  </si>
  <si>
    <t>Fixe</t>
  </si>
  <si>
    <t>Mobile</t>
  </si>
  <si>
    <t>E</t>
  </si>
  <si>
    <t>Delta WACC notionnel</t>
  </si>
  <si>
    <t xml:space="preserve">Taux d'intérêt notionnel </t>
  </si>
  <si>
    <t>WACC* avec déd. not.</t>
  </si>
  <si>
    <t xml:space="preserve">Eb  </t>
  </si>
  <si>
    <t>Nominal pre-tax</t>
  </si>
  <si>
    <t>Décision (ou dernière proposition)</t>
  </si>
  <si>
    <t>Autriche</t>
  </si>
  <si>
    <t>approval</t>
  </si>
  <si>
    <t>n.d.</t>
  </si>
  <si>
    <t>Belgique</t>
  </si>
  <si>
    <t>8,07% post tax</t>
  </si>
  <si>
    <t>Danemark</t>
  </si>
  <si>
    <t>2008 (Fixe 8,85%)</t>
  </si>
  <si>
    <t>Finlande</t>
  </si>
  <si>
    <t>8,73%-10,90%</t>
  </si>
  <si>
    <t>11,45%-14,31%</t>
  </si>
  <si>
    <t>France</t>
  </si>
  <si>
    <t>Allemagne</t>
  </si>
  <si>
    <t>based on value of accounting books ('Bilanzmethode'</t>
  </si>
  <si>
    <t>Grèce</t>
  </si>
  <si>
    <t>Ireland</t>
  </si>
  <si>
    <t>pas de décision</t>
  </si>
  <si>
    <t>Italie</t>
  </si>
  <si>
    <t>Pays-Bas</t>
  </si>
  <si>
    <t>7,6% real pre-tax</t>
  </si>
  <si>
    <t>(real 11,55%)</t>
  </si>
  <si>
    <t>Norvège</t>
  </si>
  <si>
    <t>pour Telenor, 14% pour NetCom (2007)</t>
  </si>
  <si>
    <t>Portugal</t>
  </si>
  <si>
    <t>Espagne</t>
  </si>
  <si>
    <t>Suède</t>
  </si>
  <si>
    <t>Suisse</t>
  </si>
  <si>
    <t>real?</t>
  </si>
  <si>
    <t>Royaume-Uni</t>
  </si>
  <si>
    <t>=moyenne(9,75%; 10,75%) LLU</t>
  </si>
  <si>
    <t>11,2% real pre-tax</t>
  </si>
  <si>
    <t>Pays et dernière décision (proposition)</t>
  </si>
  <si>
    <t>Nominal avant impôt</t>
  </si>
  <si>
    <t>2004-2006, 2007?</t>
  </si>
  <si>
    <t>Belgacom 2009</t>
  </si>
  <si>
    <t>Belgique Fixe</t>
  </si>
  <si>
    <t>Belgique Mobile</t>
  </si>
  <si>
    <t>Moyenne</t>
  </si>
  <si>
    <t>Suisse 2008</t>
  </si>
  <si>
    <t>Danemark 2008</t>
  </si>
  <si>
    <t>Suède 2008</t>
  </si>
  <si>
    <t>Allemagne 2007</t>
  </si>
  <si>
    <t>Italie 2006</t>
  </si>
  <si>
    <t>Grèce 2006</t>
  </si>
  <si>
    <t>Espagne 2008</t>
  </si>
  <si>
    <t>Belgique 2008</t>
  </si>
  <si>
    <t>Norvège 2008</t>
  </si>
  <si>
    <t>Irlande 2008</t>
  </si>
  <si>
    <t>Eb  consol.</t>
  </si>
  <si>
    <t>MOBILE</t>
  </si>
  <si>
    <t>France 2010</t>
  </si>
  <si>
    <t>Belgique 2010</t>
  </si>
  <si>
    <t>Pays-Bas 2010</t>
  </si>
  <si>
    <t>Autriche 2009</t>
  </si>
  <si>
    <t>Danemark 2009</t>
  </si>
  <si>
    <t>France 2008</t>
  </si>
  <si>
    <t>Autriche 2007</t>
  </si>
  <si>
    <t>8,07% réel</t>
  </si>
  <si>
    <t>Allemagne 2009°</t>
  </si>
  <si>
    <t>non actualisé</t>
  </si>
  <si>
    <t>Grèce 2008</t>
  </si>
  <si>
    <t>Pays-Bas 2006</t>
  </si>
  <si>
    <t>Portugal (n.d.)</t>
  </si>
  <si>
    <t xml:space="preserve">Portugal </t>
  </si>
  <si>
    <t>Espagne 2009</t>
  </si>
  <si>
    <t>(R.U. rest of BT 2009)</t>
  </si>
  <si>
    <t>R.U. BL de BT 2005</t>
  </si>
  <si>
    <t>(R.U. rest of BT 2005)</t>
  </si>
  <si>
    <t xml:space="preserve">Actuel              </t>
  </si>
  <si>
    <t>Précédent Cullen</t>
  </si>
  <si>
    <t>Ecart</t>
  </si>
  <si>
    <t>R.U. BL BT 2009</t>
  </si>
  <si>
    <t>non actualisé (depuis 04)</t>
  </si>
  <si>
    <t xml:space="preserve">Belgique </t>
  </si>
  <si>
    <t xml:space="preserve">Pays-Bas </t>
  </si>
  <si>
    <t>2010-2006</t>
  </si>
  <si>
    <t>2010-2008</t>
  </si>
  <si>
    <t>2009-2007</t>
  </si>
  <si>
    <t>2009-2008</t>
  </si>
  <si>
    <t xml:space="preserve">Danemark </t>
  </si>
  <si>
    <t>R.U. BL BT</t>
  </si>
  <si>
    <t>2009-2005</t>
  </si>
  <si>
    <t xml:space="preserve">Espagne </t>
  </si>
  <si>
    <t>Suisse 2008*</t>
  </si>
  <si>
    <t>*Taux réels : 6,22% en 2009, 6,75% en 2008. Inflation non spécifiée: estimation du taux nominal avec une hypothèse d'environ 2% en moyenne.</t>
  </si>
  <si>
    <t>Suisse *</t>
  </si>
  <si>
    <t>Allemagne 2009**</t>
  </si>
  <si>
    <t>Allemagne**</t>
  </si>
  <si>
    <t>Finlande 2008°°</t>
  </si>
  <si>
    <t>Finlande 2009***</t>
  </si>
  <si>
    <t>Finlande***</t>
  </si>
  <si>
    <t>Royaume-Uni 2010°°</t>
  </si>
  <si>
    <t>Royaume-Uni 2007°°</t>
  </si>
  <si>
    <t>°° A partir d'un taux réel central de 7,6% en 2009 (11,5% en 2007) et d'un taux d’inflation de 2,5% (2,8% en 2007)</t>
  </si>
  <si>
    <t>Espagne 2009°°°</t>
  </si>
  <si>
    <t>Finlande 2008***</t>
  </si>
  <si>
    <t>Espagne 2008°°°</t>
  </si>
  <si>
    <t>°°° Moyenne simple des taux 2009 (2008) de Telefonica Movildes 11,78% (11,64%), Vodafone 11,79% (11,95%) et FT España 11% (11,06%).</t>
  </si>
  <si>
    <t>Actuel</t>
  </si>
  <si>
    <t xml:space="preserve">Moyenne </t>
  </si>
  <si>
    <t>Royaume-Uni°°</t>
  </si>
  <si>
    <t>2010-2007</t>
  </si>
  <si>
    <t>Espagne°°°</t>
  </si>
  <si>
    <r>
      <t>Ecart entre la dernière décision post-</t>
    </r>
    <r>
      <rPr>
        <b/>
        <i/>
        <sz val="10"/>
        <rFont val="Arial"/>
        <family val="2"/>
      </rPr>
      <t xml:space="preserve">cc </t>
    </r>
    <r>
      <rPr>
        <b/>
        <sz val="10"/>
        <rFont val="Arial"/>
        <family val="2"/>
      </rPr>
      <t>et la précédente</t>
    </r>
  </si>
  <si>
    <t>**Taux réel 2009: 7,19%. Ajout du même différentiel qu'en 2007 (+1,40%) pour le taux nominal non spécifié</t>
  </si>
  <si>
    <t>ERP</t>
  </si>
  <si>
    <t>Prime de risque Belgique</t>
  </si>
  <si>
    <t>CRP</t>
  </si>
  <si>
    <t>Min</t>
  </si>
  <si>
    <t>Max</t>
  </si>
  <si>
    <t>Telenet</t>
  </si>
  <si>
    <t>Notation crédit</t>
  </si>
  <si>
    <t>A</t>
  </si>
  <si>
    <t>BBB</t>
  </si>
  <si>
    <t>B+</t>
  </si>
  <si>
    <t>BBB+</t>
  </si>
  <si>
    <t>A-</t>
  </si>
  <si>
    <t>Coûts d'émission</t>
  </si>
  <si>
    <t>f</t>
  </si>
  <si>
    <t>Hamada</t>
  </si>
  <si>
    <t>βe</t>
  </si>
  <si>
    <t>BB+</t>
  </si>
  <si>
    <t>BB-</t>
  </si>
  <si>
    <t>B</t>
  </si>
  <si>
    <t>Maturity</t>
  </si>
  <si>
    <t>3Y</t>
  </si>
  <si>
    <t>4Y</t>
  </si>
  <si>
    <t>5Y</t>
  </si>
  <si>
    <t>6Y</t>
  </si>
  <si>
    <t>7Y</t>
  </si>
  <si>
    <t>8Y</t>
  </si>
  <si>
    <t>9Y</t>
  </si>
  <si>
    <t>10Y</t>
  </si>
  <si>
    <t>11Y</t>
  </si>
  <si>
    <t>12Y</t>
  </si>
  <si>
    <t>13Y</t>
  </si>
  <si>
    <t>14Y</t>
  </si>
  <si>
    <t>15Y</t>
  </si>
  <si>
    <t>N/a</t>
  </si>
  <si>
    <t>B-</t>
  </si>
  <si>
    <t>Credit Rating</t>
  </si>
  <si>
    <t>FIXED</t>
  </si>
  <si>
    <t>High</t>
  </si>
  <si>
    <t>Low</t>
  </si>
  <si>
    <t>BBB-</t>
  </si>
  <si>
    <t>g</t>
  </si>
  <si>
    <t>1H09</t>
  </si>
  <si>
    <t xml:space="preserve">Avg. </t>
  </si>
  <si>
    <t>No</t>
  </si>
  <si>
    <t>Yes</t>
  </si>
  <si>
    <t>BIPT 2010</t>
  </si>
  <si>
    <t>Location-exploitation</t>
  </si>
  <si>
    <t>Lambda</t>
  </si>
  <si>
    <t>Values from WACC 2</t>
  </si>
  <si>
    <t>Values from WACC 1</t>
  </si>
  <si>
    <t>Values from WACC 3</t>
  </si>
  <si>
    <t>BGC</t>
  </si>
  <si>
    <t xml:space="preserve">g* </t>
  </si>
  <si>
    <t>OL</t>
  </si>
  <si>
    <t>Hamada βa</t>
  </si>
  <si>
    <t xml:space="preserve">Rating </t>
  </si>
  <si>
    <t>Central</t>
  </si>
  <si>
    <t>En/E</t>
  </si>
  <si>
    <t>E/En</t>
  </si>
  <si>
    <t>marpij associés</t>
  </si>
  <si>
    <t>71, Faubourg St Antoine</t>
  </si>
  <si>
    <t xml:space="preserve">F-75011 Paris </t>
  </si>
  <si>
    <t>Austria</t>
  </si>
  <si>
    <t>Date</t>
  </si>
  <si>
    <t>NGA</t>
  </si>
  <si>
    <t>Ducts</t>
  </si>
  <si>
    <t>Í</t>
  </si>
  <si>
    <t>Regulator</t>
  </si>
  <si>
    <t xml:space="preserve">Country </t>
  </si>
  <si>
    <t>Germany</t>
  </si>
  <si>
    <t xml:space="preserve">Belgium </t>
  </si>
  <si>
    <t>BIPT</t>
  </si>
  <si>
    <t xml:space="preserve">Denmark </t>
  </si>
  <si>
    <t>ERST</t>
  </si>
  <si>
    <t xml:space="preserve">Spain </t>
  </si>
  <si>
    <t>CMT</t>
  </si>
  <si>
    <t xml:space="preserve">Finland </t>
  </si>
  <si>
    <t>Ficora</t>
  </si>
  <si>
    <t xml:space="preserve">France </t>
  </si>
  <si>
    <t>Arcep</t>
  </si>
  <si>
    <t xml:space="preserve">Greece </t>
  </si>
  <si>
    <t>EETT</t>
  </si>
  <si>
    <t xml:space="preserve">Ireland </t>
  </si>
  <si>
    <t>Comreg</t>
  </si>
  <si>
    <t xml:space="preserve">Italy </t>
  </si>
  <si>
    <t>Agcom</t>
  </si>
  <si>
    <t xml:space="preserve">Norway </t>
  </si>
  <si>
    <t>Netherlands</t>
  </si>
  <si>
    <t>Anacom</t>
  </si>
  <si>
    <t xml:space="preserve">UK </t>
  </si>
  <si>
    <t>Ofcom</t>
  </si>
  <si>
    <t xml:space="preserve">Sweden </t>
  </si>
  <si>
    <t>PTS</t>
  </si>
  <si>
    <t xml:space="preserve">Switzerland </t>
  </si>
  <si>
    <t>ComCom</t>
  </si>
  <si>
    <t>BNetzA</t>
  </si>
  <si>
    <t>NPT</t>
  </si>
  <si>
    <r>
      <t xml:space="preserve">Without </t>
    </r>
    <r>
      <rPr>
        <sz val="10"/>
        <rFont val="Symbol"/>
        <family val="1"/>
        <charset val="2"/>
      </rPr>
      <t>D</t>
    </r>
    <r>
      <rPr>
        <sz val="10"/>
        <rFont val="Arial"/>
        <family val="2"/>
      </rPr>
      <t>not :</t>
    </r>
  </si>
  <si>
    <t>¬</t>
  </si>
  <si>
    <r>
      <rPr>
        <sz val="10"/>
        <rFont val="Symbol"/>
        <family val="1"/>
        <charset val="2"/>
      </rPr>
      <t>¹</t>
    </r>
    <r>
      <rPr>
        <sz val="10"/>
        <rFont val="Arial"/>
        <family val="2"/>
      </rPr>
      <t xml:space="preserve"> Date ?</t>
    </r>
  </si>
  <si>
    <t>LLU / WBA</t>
  </si>
  <si>
    <t>(= IC)</t>
  </si>
  <si>
    <t>DE</t>
  </si>
  <si>
    <t>DK</t>
  </si>
  <si>
    <t>ES</t>
  </si>
  <si>
    <t>FI</t>
  </si>
  <si>
    <t>FR</t>
  </si>
  <si>
    <t>IE</t>
  </si>
  <si>
    <t>IT</t>
  </si>
  <si>
    <t>NO</t>
  </si>
  <si>
    <t>PT</t>
  </si>
  <si>
    <t>UK</t>
  </si>
  <si>
    <t>SE</t>
  </si>
  <si>
    <t>Fixed</t>
  </si>
  <si>
    <t>AT</t>
  </si>
  <si>
    <t>GR</t>
  </si>
  <si>
    <t>CH</t>
  </si>
  <si>
    <t>11.6% - 13.6%</t>
  </si>
  <si>
    <t xml:space="preserve">Average : </t>
  </si>
  <si>
    <t>Median :</t>
  </si>
  <si>
    <r>
      <t xml:space="preserve">WACC </t>
    </r>
    <r>
      <rPr>
        <sz val="10"/>
        <rFont val="Arial"/>
        <family val="2"/>
      </rPr>
      <t>= (1-g)/(1-t).Ce+g.Cd</t>
    </r>
  </si>
  <si>
    <t>D</t>
  </si>
  <si>
    <t>g = D/(D+E)</t>
  </si>
  <si>
    <r>
      <t>WACC*</t>
    </r>
    <r>
      <rPr>
        <sz val="10"/>
        <rFont val="Arial"/>
        <family val="2"/>
      </rPr>
      <t xml:space="preserve"> = WACC - Δnot</t>
    </r>
  </si>
  <si>
    <t>D/E = g/(1-g)</t>
  </si>
  <si>
    <t>Rating</t>
  </si>
  <si>
    <t>Cd</t>
  </si>
  <si>
    <t>WACC</t>
  </si>
  <si>
    <t>RM = Rf+CRP+ERP</t>
  </si>
  <si>
    <t>RM</t>
  </si>
  <si>
    <t>No CRP</t>
  </si>
  <si>
    <t>No OL</t>
  </si>
  <si>
    <t>βe = βa.(1+D/E)</t>
  </si>
  <si>
    <r>
      <t xml:space="preserve">Ce </t>
    </r>
    <r>
      <rPr>
        <sz val="10"/>
        <rFont val="Arial"/>
        <family val="2"/>
      </rPr>
      <t>= Rf+βe.ERP</t>
    </r>
  </si>
  <si>
    <r>
      <t xml:space="preserve">New term </t>
    </r>
    <r>
      <rPr>
        <sz val="10"/>
        <rFont val="Symbol"/>
        <family val="1"/>
        <charset val="2"/>
      </rPr>
      <t>l</t>
    </r>
    <r>
      <rPr>
        <sz val="10"/>
        <rFont val="Arial"/>
        <family val="2"/>
      </rPr>
      <t>.CRP</t>
    </r>
  </si>
  <si>
    <r>
      <rPr>
        <sz val="10"/>
        <rFont val="Symbol"/>
        <family val="1"/>
        <charset val="2"/>
      </rPr>
      <t>D</t>
    </r>
    <r>
      <rPr>
        <sz val="10"/>
        <rFont val="Arial"/>
        <family val="2"/>
      </rPr>
      <t>not</t>
    </r>
  </si>
  <si>
    <t>Average</t>
  </si>
  <si>
    <t xml:space="preserve">REGULATORS </t>
  </si>
  <si>
    <t>Notes Marpij 2013</t>
  </si>
  <si>
    <t>Previous regulators average &amp; median rather calculated :</t>
  </si>
  <si>
    <t xml:space="preserve">Median </t>
  </si>
  <si>
    <t>° Taux réel 2009: 8,29% mobile. Ajout du même différentiel que pour le fixe 2007 (+1,40%) pour le taux nominal 2009 non spécifié (mobile n.d.)</t>
  </si>
  <si>
    <t>*** Milieu de la fourchette.                     Moyenne régulateurs hors Belgique 2008.</t>
  </si>
  <si>
    <t>***Milieu de la fourchette.                            Moyenne régulateurs hors Belgique 2008</t>
  </si>
  <si>
    <r>
      <rPr>
        <b/>
        <sz val="10"/>
        <rFont val="Symbol"/>
        <family val="1"/>
        <charset val="2"/>
      </rPr>
      <t>D</t>
    </r>
    <r>
      <rPr>
        <b/>
        <sz val="8.5"/>
        <rFont val="Arial"/>
        <family val="2"/>
      </rPr>
      <t xml:space="preserve"> </t>
    </r>
    <r>
      <rPr>
        <b/>
        <sz val="10"/>
        <rFont val="Arial"/>
        <family val="2"/>
      </rPr>
      <t>Mobile</t>
    </r>
  </si>
  <si>
    <t>(Cullen 2010 Mobile)</t>
  </si>
  <si>
    <t>(Cullen 2010 Fixed)</t>
  </si>
  <si>
    <r>
      <rPr>
        <i/>
        <sz val="10"/>
        <rFont val="Arial"/>
        <family val="2"/>
      </rPr>
      <t>Without</t>
    </r>
    <r>
      <rPr>
        <sz val="10"/>
        <rFont val="Arial"/>
        <family val="2"/>
      </rPr>
      <t xml:space="preserve"> data cuts</t>
    </r>
  </si>
  <si>
    <t>Take OL into account ?</t>
  </si>
  <si>
    <t>WACC*</t>
  </si>
  <si>
    <t>Median</t>
  </si>
  <si>
    <t xml:space="preserve">Fixed </t>
  </si>
  <si>
    <t>Average :</t>
  </si>
  <si>
    <t>for WACC, not WACC*</t>
  </si>
  <si>
    <t>Previous Med. :</t>
  </si>
  <si>
    <t>incl. BIPT 2008, excl. 2010</t>
  </si>
  <si>
    <t>Fixed 2010 :</t>
  </si>
  <si>
    <r>
      <t xml:space="preserve">On BIPT 2010 benchmark </t>
    </r>
    <r>
      <rPr>
        <sz val="10"/>
        <rFont val="Symbol"/>
        <family val="1"/>
        <charset val="2"/>
      </rPr>
      <t>®</t>
    </r>
  </si>
  <si>
    <t>BRIO 2008 :</t>
  </si>
  <si>
    <t>Mobile 2010 :</t>
  </si>
  <si>
    <t>Mobile 2006 :</t>
  </si>
  <si>
    <t>Cullen 2010</t>
  </si>
  <si>
    <t>6th /16</t>
  </si>
  <si>
    <t>14th /16</t>
  </si>
  <si>
    <t>Previous Avg. :</t>
  </si>
  <si>
    <t>FIXED (F)</t>
  </si>
  <si>
    <t>MOBILE (M)</t>
  </si>
  <si>
    <t>BIPT 2008 :</t>
  </si>
  <si>
    <r>
      <rPr>
        <sz val="10"/>
        <rFont val="Symbol"/>
        <family val="1"/>
        <charset val="2"/>
      </rPr>
      <t>D</t>
    </r>
    <r>
      <rPr>
        <sz val="10"/>
        <rFont val="Arial"/>
        <family val="2"/>
      </rPr>
      <t xml:space="preserve"> 2010 :</t>
    </r>
  </si>
  <si>
    <t>Belgique 2006</t>
  </si>
  <si>
    <t>Ranking</t>
  </si>
  <si>
    <t>2nd /12</t>
  </si>
  <si>
    <t>5th /12</t>
  </si>
  <si>
    <r>
      <rPr>
        <sz val="10"/>
        <rFont val="Symbol"/>
        <family val="1"/>
        <charset val="2"/>
      </rPr>
      <t>l</t>
    </r>
    <r>
      <rPr>
        <sz val="10"/>
        <rFont val="Arial"/>
        <family val="2"/>
      </rPr>
      <t xml:space="preserve"> </t>
    </r>
    <r>
      <rPr>
        <sz val="10"/>
        <rFont val="Symbol"/>
        <family val="1"/>
        <charset val="2"/>
      </rPr>
      <t>¹</t>
    </r>
    <r>
      <rPr>
        <sz val="10"/>
        <rFont val="Arial"/>
        <family val="2"/>
      </rPr>
      <t xml:space="preserve"> βe ?</t>
    </r>
  </si>
  <si>
    <r>
      <t xml:space="preserve">We now prefer to simply show NRAs avg. </t>
    </r>
    <r>
      <rPr>
        <sz val="10"/>
        <color theme="1" tint="0.499984740745262"/>
        <rFont val="Symbol"/>
        <family val="1"/>
        <charset val="2"/>
      </rPr>
      <t xml:space="preserve">D </t>
    </r>
    <r>
      <rPr>
        <sz val="10"/>
        <color theme="1" tint="0.499984740745262"/>
        <rFont val="Arial"/>
        <family val="2"/>
      </rPr>
      <t xml:space="preserve">between current values and Cullen's 'snapshot' taken at the time of BIPT's previous determination, i.e. a </t>
    </r>
    <r>
      <rPr>
        <sz val="10"/>
        <color theme="1" tint="0.499984740745262"/>
        <rFont val="Symbol"/>
        <family val="1"/>
        <charset val="2"/>
      </rPr>
      <t>D</t>
    </r>
    <r>
      <rPr>
        <sz val="10"/>
        <color theme="1" tint="0.499984740745262"/>
        <rFont val="Arial"/>
        <family val="2"/>
      </rPr>
      <t xml:space="preserve"> on a time frame closer to BIPT's.</t>
    </r>
  </si>
  <si>
    <t>With data cuts</t>
  </si>
  <si>
    <t>FIXED IC</t>
  </si>
  <si>
    <r>
      <rPr>
        <b/>
        <sz val="10"/>
        <color theme="0"/>
        <rFont val="Arial"/>
        <family val="2"/>
      </rPr>
      <t xml:space="preserve">WACC fixe </t>
    </r>
    <r>
      <rPr>
        <sz val="10"/>
        <color theme="0"/>
        <rFont val="Arial"/>
        <family val="2"/>
      </rPr>
      <t>nominal avant impôts</t>
    </r>
  </si>
  <si>
    <r>
      <rPr>
        <b/>
        <sz val="10"/>
        <color theme="0"/>
        <rFont val="Arial"/>
        <family val="2"/>
      </rPr>
      <t xml:space="preserve">WACC Mobile </t>
    </r>
    <r>
      <rPr>
        <sz val="10"/>
        <color theme="0"/>
        <rFont val="Arial"/>
        <family val="2"/>
      </rPr>
      <t>nominal avant impôts</t>
    </r>
  </si>
  <si>
    <t>FIXE</t>
  </si>
  <si>
    <t>Taux d’imposition</t>
  </si>
  <si>
    <t>Coût du capital propre</t>
  </si>
  <si>
    <t xml:space="preserve">Coût de la dette </t>
  </si>
  <si>
    <t xml:space="preserve">Belgacom </t>
  </si>
  <si>
    <t>Prime de risque pays</t>
  </si>
  <si>
    <t>Maturité</t>
  </si>
  <si>
    <t>Coûts de transactions</t>
  </si>
  <si>
    <t>l</t>
  </si>
  <si>
    <t>Ce</t>
  </si>
  <si>
    <t xml:space="preserve">WACC avant impôt </t>
  </si>
  <si>
    <t>Mobile 2010</t>
  </si>
  <si>
    <t>Fixe 2010</t>
  </si>
  <si>
    <t>Hamada equiv.</t>
  </si>
  <si>
    <r>
      <rPr>
        <sz val="10"/>
        <rFont val="Symbol"/>
        <family val="1"/>
        <charset val="2"/>
      </rPr>
      <t>D</t>
    </r>
    <r>
      <rPr>
        <sz val="10"/>
        <rFont val="Arial"/>
        <family val="2"/>
      </rPr>
      <t xml:space="preserve"> in Hamada definition</t>
    </r>
  </si>
  <si>
    <t>Comparatif Européen</t>
  </si>
  <si>
    <t xml:space="preserve">WACC Fixes nominaux avant impôts en Europe </t>
  </si>
  <si>
    <t>Chronologie</t>
  </si>
  <si>
    <t xml:space="preserve">WACC Mobiles nominaux avant impôts en Europe </t>
  </si>
  <si>
    <t>Différentiation Fixe/Mobile</t>
  </si>
  <si>
    <t xml:space="preserve">FIXE </t>
  </si>
  <si>
    <t>Décision 2010</t>
  </si>
  <si>
    <t>7th /16</t>
  </si>
  <si>
    <t>Ecart WACC Mobile - WACC Fixe par Régulateur</t>
  </si>
  <si>
    <t>Comparison with BIPT 2010 and other European NRAs determinations.</t>
  </si>
  <si>
    <t>Fixed WACC benchmark (in French) from BIPT 2010.</t>
  </si>
  <si>
    <t>Mobile WACC benchmark (in French) from BIPT 2010.</t>
  </si>
  <si>
    <r>
      <t xml:space="preserve">BIPT 2014 </t>
    </r>
    <r>
      <rPr>
        <sz val="10"/>
        <rFont val="Symbol"/>
        <family val="1"/>
        <charset val="2"/>
      </rPr>
      <t>D</t>
    </r>
    <r>
      <rPr>
        <sz val="10"/>
        <rFont val="Arial"/>
        <family val="2"/>
      </rPr>
      <t xml:space="preserve"> :</t>
    </r>
  </si>
  <si>
    <r>
      <t xml:space="preserve">BIPT 2010 </t>
    </r>
    <r>
      <rPr>
        <sz val="10"/>
        <rFont val="Symbol"/>
        <family val="1"/>
        <charset val="2"/>
      </rPr>
      <t xml:space="preserve">D </t>
    </r>
    <r>
      <rPr>
        <sz val="10"/>
        <rFont val="Arial"/>
        <family val="2"/>
      </rPr>
      <t>:</t>
    </r>
  </si>
  <si>
    <r>
      <t xml:space="preserve">BIPT 2010 </t>
    </r>
    <r>
      <rPr>
        <sz val="10"/>
        <rFont val="Symbol"/>
        <family val="1"/>
        <charset val="2"/>
      </rPr>
      <t>D</t>
    </r>
    <r>
      <rPr>
        <sz val="10"/>
        <rFont val="Arial"/>
        <family val="2"/>
      </rPr>
      <t xml:space="preserve"> :</t>
    </r>
  </si>
  <si>
    <t>WACC Conclusion</t>
  </si>
  <si>
    <t>Beta de la dette</t>
  </si>
  <si>
    <t>βd</t>
  </si>
  <si>
    <r>
      <t xml:space="preserve">WACC avant </t>
    </r>
    <r>
      <rPr>
        <sz val="10"/>
        <rFont val="Symbol"/>
        <family val="1"/>
        <charset val="2"/>
      </rPr>
      <t>D</t>
    </r>
    <r>
      <rPr>
        <sz val="10"/>
        <rFont val="Arial"/>
        <family val="2"/>
      </rPr>
      <t>not</t>
    </r>
  </si>
  <si>
    <r>
      <t xml:space="preserve">WACC* après </t>
    </r>
    <r>
      <rPr>
        <b/>
        <sz val="10"/>
        <rFont val="Symbol"/>
        <family val="1"/>
        <charset val="2"/>
      </rPr>
      <t>D</t>
    </r>
    <r>
      <rPr>
        <b/>
        <sz val="10"/>
        <rFont val="Arial"/>
        <family val="2"/>
      </rPr>
      <t>not</t>
    </r>
  </si>
  <si>
    <t>Prix sur actif net</t>
  </si>
  <si>
    <t>Levier financier</t>
  </si>
  <si>
    <t>Positions relatives des WACC IBPT parmi les valeurs actuelles et 2010 des régulateurs européens</t>
  </si>
  <si>
    <t>BB</t>
  </si>
  <si>
    <t>(Rating ranking)</t>
  </si>
  <si>
    <t>Spread</t>
  </si>
  <si>
    <t>(Maturity ranking)</t>
  </si>
  <si>
    <r>
      <t xml:space="preserve">Cd° </t>
    </r>
    <r>
      <rPr>
        <sz val="10"/>
        <rFont val="Arial"/>
        <family val="2"/>
      </rPr>
      <t>(before issuance fees)</t>
    </r>
  </si>
  <si>
    <t xml:space="preserve">Avg. Cumul. Loss Rates </t>
  </si>
  <si>
    <t>(HP/Hamada βa conversion depends on set forward-looking gearing)</t>
  </si>
  <si>
    <t>Harris-Pringle βa</t>
  </si>
  <si>
    <r>
      <t>Harris-P β</t>
    </r>
    <r>
      <rPr>
        <sz val="9"/>
        <rFont val="Arial"/>
        <family val="2"/>
      </rPr>
      <t>a</t>
    </r>
  </si>
  <si>
    <t>Also from WACC 3</t>
  </si>
  <si>
    <t>d°</t>
  </si>
  <si>
    <r>
      <rPr>
        <b/>
        <sz val="10"/>
        <rFont val="Arial"/>
        <family val="2"/>
      </rPr>
      <t xml:space="preserve">Cd </t>
    </r>
    <r>
      <rPr>
        <sz val="10"/>
        <rFont val="Arial"/>
        <family val="2"/>
      </rPr>
      <t>= Rf+d°+f</t>
    </r>
  </si>
  <si>
    <t>CRP (Belgium)</t>
  </si>
  <si>
    <t>ERP (Reference Market)</t>
  </si>
  <si>
    <t>No border for formulae</t>
  </si>
  <si>
    <t>D/E</t>
  </si>
  <si>
    <t>t/(1-t).(1-g).Rnot</t>
  </si>
  <si>
    <r>
      <t xml:space="preserve">Ce </t>
    </r>
    <r>
      <rPr>
        <sz val="10"/>
        <rFont val="Arial"/>
        <family val="2"/>
      </rPr>
      <t>= Rf+</t>
    </r>
    <r>
      <rPr>
        <sz val="10"/>
        <rFont val="Symbol"/>
        <family val="1"/>
        <charset val="2"/>
      </rPr>
      <t>l.</t>
    </r>
    <r>
      <rPr>
        <sz val="10"/>
        <rFont val="Arial"/>
        <family val="2"/>
      </rPr>
      <t>CRP+βe.ERP</t>
    </r>
  </si>
  <si>
    <r>
      <t>Δnot</t>
    </r>
    <r>
      <rPr>
        <sz val="10"/>
        <rFont val="Arial"/>
        <family val="2"/>
      </rPr>
      <t xml:space="preserve"> = t/(1-t).(1-g)Rnot.En/E</t>
    </r>
  </si>
  <si>
    <r>
      <rPr>
        <b/>
        <sz val="10"/>
        <rFont val="Symbol"/>
        <family val="1"/>
        <charset val="2"/>
      </rPr>
      <t>D</t>
    </r>
    <r>
      <rPr>
        <b/>
        <sz val="10"/>
        <rFont val="Arial"/>
        <family val="2"/>
      </rPr>
      <t>not</t>
    </r>
  </si>
  <si>
    <t>Harris-Pringle</t>
  </si>
  <si>
    <t>» Prix sur actif net</t>
  </si>
  <si>
    <t xml:space="preserve">OL </t>
  </si>
  <si>
    <t>RM (Belgium) = Rf+CRP+ERP</t>
  </si>
  <si>
    <t>RM (Belgium)</t>
  </si>
  <si>
    <r>
      <t xml:space="preserve">Without </t>
    </r>
    <r>
      <rPr>
        <sz val="10"/>
        <rFont val="Symbol"/>
        <family val="1"/>
        <charset val="2"/>
      </rPr>
      <t>l</t>
    </r>
    <r>
      <rPr>
        <sz val="10"/>
        <rFont val="Arial"/>
        <family val="2"/>
      </rPr>
      <t>.CRP</t>
    </r>
  </si>
  <si>
    <t>βa Hamada</t>
  </si>
  <si>
    <t>Mobile - Fixed WACC*</t>
  </si>
  <si>
    <r>
      <t xml:space="preserve">Mobile - Fixed WACC (before </t>
    </r>
    <r>
      <rPr>
        <sz val="10"/>
        <rFont val="Symbol"/>
        <family val="1"/>
        <charset val="2"/>
      </rPr>
      <t>D</t>
    </r>
    <r>
      <rPr>
        <sz val="10"/>
        <rFont val="Arial"/>
        <family val="2"/>
      </rPr>
      <t>not)</t>
    </r>
  </si>
  <si>
    <t>M-F WACC*</t>
  </si>
  <si>
    <t>M-F WACC</t>
  </si>
  <si>
    <r>
      <rPr>
        <b/>
        <sz val="10"/>
        <color theme="0"/>
        <rFont val="Symbol"/>
        <family val="1"/>
        <charset val="2"/>
      </rPr>
      <t>D</t>
    </r>
    <r>
      <rPr>
        <b/>
        <sz val="10"/>
        <color theme="0"/>
        <rFont val="Arial"/>
        <family val="2"/>
      </rPr>
      <t xml:space="preserve"> FIXED </t>
    </r>
  </si>
  <si>
    <r>
      <rPr>
        <b/>
        <sz val="10"/>
        <color theme="0"/>
        <rFont val="Symbol"/>
        <family val="1"/>
        <charset val="2"/>
      </rPr>
      <t>D</t>
    </r>
    <r>
      <rPr>
        <b/>
        <sz val="9"/>
        <color theme="0"/>
        <rFont val="Arial"/>
        <family val="2"/>
      </rPr>
      <t xml:space="preserve"> </t>
    </r>
    <r>
      <rPr>
        <b/>
        <sz val="10"/>
        <color theme="0"/>
        <rFont val="Arial"/>
        <family val="2"/>
      </rPr>
      <t>MOBILE</t>
    </r>
  </si>
  <si>
    <t>Taux de déduction not.</t>
  </si>
  <si>
    <t>Impact βd sur βe</t>
  </si>
  <si>
    <t>z.βd</t>
  </si>
  <si>
    <t>INPUTS &amp; small calculations</t>
  </si>
  <si>
    <t>Évolution des WACC belges</t>
  </si>
  <si>
    <t>2010 - 2008/2006</t>
  </si>
  <si>
    <t>Paramètres généraux</t>
  </si>
  <si>
    <t>E/Eb</t>
  </si>
  <si>
    <t>Beta économique (H int)</t>
  </si>
  <si>
    <t>Paramètres spécifiques</t>
  </si>
  <si>
    <t>Coût du capital</t>
  </si>
  <si>
    <t>Déduction notionnelle</t>
  </si>
  <si>
    <t>Classements</t>
  </si>
  <si>
    <t>© MARPIJ, 2014</t>
  </si>
  <si>
    <t>Copy value</t>
  </si>
  <si>
    <r>
      <rPr>
        <sz val="10"/>
        <rFont val="Symbol"/>
        <family val="1"/>
        <charset val="2"/>
      </rPr>
      <t xml:space="preserve">D </t>
    </r>
    <r>
      <rPr>
        <sz val="10"/>
        <rFont val="Arial"/>
        <family val="2"/>
      </rPr>
      <t>M.- F.</t>
    </r>
  </si>
  <si>
    <t>2014 BIPT WACC 4/4</t>
  </si>
  <si>
    <t>Illustrative Min/Max mid-point with cumulative parameters' Min/Max.</t>
  </si>
  <si>
    <t>MOBILE - FIXED WACC*</t>
  </si>
  <si>
    <t>BIPT 2014 vs. 2010</t>
  </si>
  <si>
    <t>Stakeholder's Note</t>
  </si>
  <si>
    <t>Consultation "2013" Inputs</t>
  </si>
  <si>
    <t xml:space="preserve">2014 - 2010 </t>
  </si>
  <si>
    <t>Paramètres WACC complets des opérateurs belges, 2014 &amp; 2010</t>
  </si>
  <si>
    <t>WACC* 2014- 2010</t>
  </si>
  <si>
    <t>BGC 2010</t>
  </si>
  <si>
    <t>Mstar 2010</t>
  </si>
  <si>
    <r>
      <rPr>
        <sz val="10"/>
        <rFont val="Symbol"/>
        <family val="1"/>
        <charset val="2"/>
      </rPr>
      <t>D</t>
    </r>
    <r>
      <rPr>
        <sz val="9"/>
        <rFont val="Arial"/>
        <family val="2"/>
      </rPr>
      <t xml:space="preserve"> </t>
    </r>
    <r>
      <rPr>
        <sz val="10"/>
        <rFont val="Arial"/>
        <family val="2"/>
      </rPr>
      <t>Mobistar</t>
    </r>
  </si>
  <si>
    <r>
      <rPr>
        <sz val="10"/>
        <rFont val="Symbol"/>
        <family val="1"/>
        <charset val="2"/>
      </rPr>
      <t>D</t>
    </r>
    <r>
      <rPr>
        <sz val="9"/>
        <rFont val="Arial"/>
        <family val="2"/>
      </rPr>
      <t xml:space="preserve"> </t>
    </r>
    <r>
      <rPr>
        <sz val="10"/>
        <rFont val="Arial"/>
        <family val="2"/>
      </rPr>
      <t>Belgacom</t>
    </r>
  </si>
  <si>
    <t>June 2014</t>
  </si>
  <si>
    <r>
      <t xml:space="preserve">BIPT 2014 </t>
    </r>
    <r>
      <rPr>
        <sz val="10"/>
        <rFont val="Symbol"/>
        <family val="1"/>
        <charset val="2"/>
      </rPr>
      <t xml:space="preserve">D </t>
    </r>
    <r>
      <rPr>
        <sz val="10"/>
        <rFont val="Arial"/>
        <family val="2"/>
      </rPr>
      <t>:</t>
    </r>
  </si>
  <si>
    <t>Cullen 2014</t>
  </si>
  <si>
    <t>Incl. BIPT 2010, excl. 2014</t>
  </si>
  <si>
    <t>Fixed 2014 :</t>
  </si>
  <si>
    <t>Mobile 2014 :</t>
  </si>
  <si>
    <t>NL/Brattle</t>
  </si>
  <si>
    <t>NL/Nera</t>
  </si>
  <si>
    <t>BIPT 2014</t>
  </si>
  <si>
    <r>
      <rPr>
        <b/>
        <sz val="10"/>
        <rFont val="Symbol"/>
        <family val="1"/>
        <charset val="2"/>
      </rPr>
      <t>D</t>
    </r>
    <r>
      <rPr>
        <b/>
        <sz val="10"/>
        <rFont val="Arial"/>
        <family val="2"/>
      </rPr>
      <t xml:space="preserve"> 2014 :</t>
    </r>
  </si>
  <si>
    <t>FINAL BIPT 2014</t>
  </si>
  <si>
    <t>Final BIPT &amp; Cullen 2014</t>
  </si>
  <si>
    <t>WACC tables for Belgian SPs with inputs from WACC 1, 2 &amp; 3 (no border for formulae).</t>
  </si>
  <si>
    <t>TKK</t>
  </si>
  <si>
    <r>
      <rPr>
        <sz val="10"/>
        <color rgb="FFC00000"/>
        <rFont val="Arial"/>
        <family val="2"/>
      </rPr>
      <t>9,2%</t>
    </r>
    <r>
      <rPr>
        <sz val="10"/>
        <rFont val="Arial"/>
        <family val="2"/>
      </rPr>
      <t xml:space="preserve"> - </t>
    </r>
    <r>
      <rPr>
        <sz val="10"/>
        <color rgb="FF00B050"/>
        <rFont val="Arial"/>
        <family val="2"/>
      </rPr>
      <t>10,9%</t>
    </r>
  </si>
  <si>
    <t>ACM/Brattle</t>
  </si>
  <si>
    <t>ACM/Nera</t>
  </si>
  <si>
    <t>6,2% - 7,9%</t>
  </si>
  <si>
    <r>
      <rPr>
        <sz val="10"/>
        <color rgb="FF00B050"/>
        <rFont val="Arial"/>
        <family val="2"/>
      </rPr>
      <t>7,0%</t>
    </r>
    <r>
      <rPr>
        <sz val="10"/>
        <rFont val="Arial"/>
        <family val="2"/>
      </rPr>
      <t xml:space="preserve"> - 8,3%</t>
    </r>
  </si>
  <si>
    <r>
      <rPr>
        <sz val="10"/>
        <color rgb="FF00B050"/>
        <rFont val="Arial"/>
        <family val="2"/>
      </rPr>
      <t>6,2%</t>
    </r>
    <r>
      <rPr>
        <sz val="10"/>
        <rFont val="Arial"/>
        <family val="2"/>
      </rPr>
      <t xml:space="preserve"> - </t>
    </r>
    <r>
      <rPr>
        <sz val="10"/>
        <color rgb="FFC00000"/>
        <rFont val="Arial"/>
        <family val="2"/>
      </rPr>
      <t>8,8%</t>
    </r>
  </si>
  <si>
    <t>Red = lower</t>
  </si>
  <si>
    <t>Green = Higher</t>
  </si>
  <si>
    <t>Vs. Cullen Sept. 2013 (used in "2013" WACC 4) :</t>
  </si>
  <si>
    <r>
      <rPr>
        <sz val="10"/>
        <rFont val="Wingdings 2"/>
        <family val="1"/>
        <charset val="2"/>
      </rPr>
      <t>Í</t>
    </r>
    <r>
      <rPr>
        <sz val="10"/>
        <rFont val="Arial"/>
        <family val="2"/>
      </rPr>
      <t xml:space="preserve"> = Not regulated / applicable</t>
    </r>
  </si>
  <si>
    <r>
      <rPr>
        <sz val="10"/>
        <color theme="0" tint="-0.249977111117893"/>
        <rFont val="Symbol"/>
        <family val="1"/>
        <charset val="2"/>
      </rPr>
      <t>¯</t>
    </r>
    <r>
      <rPr>
        <sz val="10"/>
        <color theme="0" tint="-0.249977111117893"/>
        <rFont val="Arial"/>
        <family val="2"/>
      </rPr>
      <t xml:space="preserve"> For info, not used (here) </t>
    </r>
    <r>
      <rPr>
        <sz val="10"/>
        <color theme="0" tint="-0.249977111117893"/>
        <rFont val="Symbol"/>
        <family val="1"/>
        <charset val="2"/>
      </rPr>
      <t>¯</t>
    </r>
  </si>
  <si>
    <t>Cullen Int.</t>
  </si>
  <si>
    <t>Nominal Pre-Tax WACC</t>
  </si>
  <si>
    <r>
      <rPr>
        <sz val="10"/>
        <color theme="0" tint="-0.34998626667073579"/>
        <rFont val="Symbol"/>
        <family val="1"/>
        <charset val="2"/>
      </rPr>
      <t>¬</t>
    </r>
    <r>
      <rPr>
        <sz val="9"/>
        <color theme="0" tint="-0.34998626667073579"/>
        <rFont val="Arial"/>
        <family val="2"/>
      </rPr>
      <t xml:space="preserve"> </t>
    </r>
    <r>
      <rPr>
        <sz val="10"/>
        <color theme="0" tint="-0.34998626667073579"/>
        <rFont val="Arial"/>
        <family val="2"/>
      </rPr>
      <t>LLU</t>
    </r>
  </si>
  <si>
    <r>
      <t>¬</t>
    </r>
    <r>
      <rPr>
        <sz val="10"/>
        <color theme="0" tint="-0.34998626667073579"/>
        <rFont val="Calibri"/>
        <family val="2"/>
        <scheme val="minor"/>
      </rPr>
      <t xml:space="preserve"> </t>
    </r>
  </si>
  <si>
    <t>Italics : Consultation / Proposal</t>
  </si>
  <si>
    <r>
      <t>Cullen</t>
    </r>
    <r>
      <rPr>
        <sz val="10"/>
        <rFont val="Arial"/>
        <family val="2"/>
      </rPr>
      <t xml:space="preserve"> (Sept 2013) :</t>
    </r>
  </si>
  <si>
    <t>- In Finland, the NRA publishes a range it uses when assessing cost orientation of regulated products. (A separate WACC range applies to NGA.)</t>
  </si>
  <si>
    <t>- In Germany and Netherlands, the regulator sets a real WACC, not a nominal WACC like in other countries. For Germany, the figure however shows the nominal WACC for better comparison.</t>
  </si>
  <si>
    <t xml:space="preserve">WACC refers to the minimum ROCE that must be achieved by a company in order to satisfy its investors (shareholders and debt holders). </t>
  </si>
  <si>
    <t>The regulatory WACC used in setting cost oriented prices is, however, the regulator’s estimate of what would be the cost of funds of an efficient benchmark entity, and may not necessarily reflect the actual ROCE of the regulated company.</t>
  </si>
  <si>
    <t>Manual</t>
  </si>
  <si>
    <t>incl. BIPT 2010, excl. 2014</t>
  </si>
  <si>
    <r>
      <rPr>
        <sz val="10"/>
        <color rgb="FFC00000"/>
        <rFont val="Arial"/>
        <family val="2"/>
      </rPr>
      <t xml:space="preserve">8,6% </t>
    </r>
    <r>
      <rPr>
        <sz val="10"/>
        <color theme="0" tint="-0.34998626667073579"/>
        <rFont val="Arial"/>
        <family val="2"/>
      </rPr>
      <t xml:space="preserve">/ </t>
    </r>
    <r>
      <rPr>
        <sz val="10"/>
        <color rgb="FF00B050"/>
        <rFont val="Arial"/>
        <family val="2"/>
      </rPr>
      <t>10,8%</t>
    </r>
  </si>
  <si>
    <t xml:space="preserve">- In the UK, BT applies a lower WACC for its copper network than for its business connectivity services. </t>
  </si>
  <si>
    <r>
      <rPr>
        <sz val="10"/>
        <color theme="0" tint="-0.249977111117893"/>
        <rFont val="Symbol"/>
        <family val="1"/>
        <charset val="2"/>
      </rPr>
      <t>¯</t>
    </r>
    <r>
      <rPr>
        <sz val="9"/>
        <color theme="0" tint="-0.249977111117893"/>
        <rFont val="Arial"/>
        <family val="2"/>
      </rPr>
      <t xml:space="preserve"> </t>
    </r>
    <r>
      <rPr>
        <sz val="10"/>
        <color theme="0" tint="-0.249977111117893"/>
        <rFont val="Arial"/>
        <family val="2"/>
      </rPr>
      <t>Col. to sort</t>
    </r>
  </si>
  <si>
    <r>
      <t xml:space="preserve">The status of </t>
    </r>
    <r>
      <rPr>
        <b/>
        <sz val="10"/>
        <rFont val="Arial"/>
        <family val="2"/>
      </rPr>
      <t>Brattle &amp; Nera</t>
    </r>
    <r>
      <rPr>
        <sz val="10"/>
        <rFont val="Arial"/>
        <family val="2"/>
      </rPr>
      <t xml:space="preserve">'s determinations for the sake of </t>
    </r>
    <r>
      <rPr>
        <b/>
        <sz val="10"/>
        <rFont val="Arial"/>
        <family val="2"/>
      </rPr>
      <t>ACM</t>
    </r>
    <r>
      <rPr>
        <sz val="10"/>
        <rFont val="Arial"/>
        <family val="2"/>
      </rPr>
      <t xml:space="preserve"> (ex-Opta) is unclear. The former addresses generic SPs (Fixed, Mobile, Cable), the latter, absent from Cullen's benchmark, KPN's wholesale (Fixed) activities. Given the proximity (in all senses of the word) of the Dutch market, and the quality of these documents, both Fixed WACC are shown. But only NL/Brattle, with a Mobile counterpart, is considered for benchmark's avg/median.</t>
    </r>
  </si>
  <si>
    <r>
      <t xml:space="preserve"> (</t>
    </r>
    <r>
      <rPr>
        <sz val="10"/>
        <color theme="8" tint="0.39997558519241921"/>
        <rFont val="Symbol"/>
        <family val="1"/>
        <charset val="2"/>
      </rPr>
      <t>¹</t>
    </r>
    <r>
      <rPr>
        <sz val="7"/>
        <color theme="8" tint="0.39997558519241921"/>
        <rFont val="Arial"/>
        <family val="2"/>
      </rPr>
      <t xml:space="preserve"> </t>
    </r>
    <r>
      <rPr>
        <sz val="10"/>
        <color theme="8" tint="0.39997558519241921"/>
        <rFont val="Arial"/>
        <family val="2"/>
      </rPr>
      <t>Fixed)</t>
    </r>
  </si>
  <si>
    <t>Check above avg &amp; median formulae</t>
  </si>
  <si>
    <t>with updated sorting !</t>
  </si>
  <si>
    <t>8th /15</t>
  </si>
  <si>
    <t xml:space="preserve">Remark (see 'Cullen 2010' sheets) : </t>
  </si>
  <si>
    <r>
      <t xml:space="preserve">BIPT's ranking, from low to high </t>
    </r>
    <r>
      <rPr>
        <sz val="10"/>
        <rFont val="Symbol"/>
        <family val="1"/>
        <charset val="2"/>
      </rPr>
      <t>®</t>
    </r>
  </si>
  <si>
    <t>(M) - (F)</t>
  </si>
  <si>
    <t>Above values for the Mobile/Fixed spread are deemed more relevant (consistent) than those shown below : subtractions of avg/median from (M) &amp; (F) tables.</t>
  </si>
  <si>
    <r>
      <rPr>
        <b/>
        <sz val="10"/>
        <rFont val="Symbol"/>
        <family val="1"/>
        <charset val="2"/>
      </rPr>
      <t>D</t>
    </r>
    <r>
      <rPr>
        <b/>
        <sz val="9"/>
        <rFont val="Arial"/>
        <family val="2"/>
      </rPr>
      <t xml:space="preserve"> </t>
    </r>
    <r>
      <rPr>
        <b/>
        <sz val="10"/>
        <rFont val="Arial"/>
        <family val="2"/>
      </rPr>
      <t>MOB./FIXED</t>
    </r>
  </si>
  <si>
    <r>
      <t xml:space="preserve">- In Spain, a separate WACC applies to NGA. For the three leading mobile operators, WACC rates are calculated separately, ranging from 9.33% (Vodafone) to 10.48% (Telefónica Móviles). </t>
    </r>
    <r>
      <rPr>
        <sz val="10"/>
        <color rgb="FFFFDC6D"/>
        <rFont val="Arial"/>
        <family val="2"/>
      </rPr>
      <t>Investigate why.</t>
    </r>
  </si>
  <si>
    <r>
      <t xml:space="preserve">Here, </t>
    </r>
    <r>
      <rPr>
        <i/>
        <sz val="10"/>
        <color theme="0" tint="-0.34998626667073579"/>
        <rFont val="Arial"/>
        <family val="2"/>
      </rPr>
      <t>symetric</t>
    </r>
    <r>
      <rPr>
        <sz val="10"/>
        <color theme="0" tint="-0.34998626667073579"/>
        <rFont val="Arial"/>
        <family val="2"/>
      </rPr>
      <t xml:space="preserve"> input ranges for : ERP, Fixed &amp; Belgacom's gearings,and all ratings.</t>
    </r>
  </si>
  <si>
    <t>Bold = Marpij adjustment</t>
  </si>
  <si>
    <r>
      <rPr>
        <b/>
        <sz val="10"/>
        <color rgb="FFC00000"/>
        <rFont val="Arial"/>
        <family val="2"/>
      </rPr>
      <t>Marpij's note :</t>
    </r>
    <r>
      <rPr>
        <sz val="10"/>
        <color rgb="FFC00000"/>
        <rFont val="Arial"/>
        <family val="2"/>
      </rPr>
      <t xml:space="preserve"> June 2014 Cullen applies to IC the WACC for the 'rest of BT' (used for WBA), in contrast with its September 2013 edition first mentioning Openreach WACC (primarily used for copper acces). </t>
    </r>
    <r>
      <rPr>
        <b/>
        <sz val="10"/>
        <color rgb="FFC00000"/>
        <rFont val="Arial"/>
        <family val="2"/>
      </rPr>
      <t>We now consider that BT's WACC is more appropriate for (average) Fixed IC.</t>
    </r>
  </si>
  <si>
    <r>
      <t xml:space="preserve">Since Belgium's </t>
    </r>
    <r>
      <rPr>
        <b/>
        <strike/>
        <sz val="10"/>
        <rFont val="Arial"/>
        <family val="2"/>
      </rPr>
      <t>notional discount</t>
    </r>
    <r>
      <rPr>
        <strike/>
        <sz val="10"/>
        <rFont val="Arial"/>
        <family val="2"/>
      </rPr>
      <t xml:space="preserve"> has no equivalent in other juridictions' determinations, it is more appropriate to compare their WACC rates with BIPT's WACC, not WACC*.</t>
    </r>
  </si>
  <si>
    <t>10th /16</t>
  </si>
  <si>
    <t>for final WACC*</t>
  </si>
  <si>
    <t>Note Marpij 2014</t>
  </si>
  <si>
    <r>
      <t xml:space="preserve">- Incl. BIPT WACC 2008 (for Belgacom) after </t>
    </r>
    <r>
      <rPr>
        <sz val="10"/>
        <rFont val="Symbol"/>
        <family val="1"/>
        <charset val="2"/>
      </rPr>
      <t>D</t>
    </r>
    <r>
      <rPr>
        <sz val="10"/>
        <rFont val="Arial"/>
        <family val="2"/>
      </rPr>
      <t>not :</t>
    </r>
  </si>
  <si>
    <r>
      <t xml:space="preserve">- And excl. BIPT 2010 after </t>
    </r>
    <r>
      <rPr>
        <sz val="10"/>
        <rFont val="Symbol"/>
        <family val="1"/>
        <charset val="2"/>
      </rPr>
      <t>D</t>
    </r>
    <r>
      <rPr>
        <sz val="10"/>
        <rFont val="Arial"/>
        <family val="2"/>
      </rPr>
      <t>not :</t>
    </r>
  </si>
  <si>
    <r>
      <t xml:space="preserve">- Incl. BIPT WACC 2006 after </t>
    </r>
    <r>
      <rPr>
        <sz val="10"/>
        <rFont val="Symbol"/>
        <family val="1"/>
        <charset val="2"/>
      </rPr>
      <t>D</t>
    </r>
    <r>
      <rPr>
        <sz val="10"/>
        <rFont val="Arial"/>
        <family val="2"/>
      </rPr>
      <t>not :</t>
    </r>
  </si>
  <si>
    <r>
      <rPr>
        <sz val="10"/>
        <rFont val="Symbol"/>
        <family val="1"/>
        <charset val="2"/>
      </rPr>
      <t>D</t>
    </r>
    <r>
      <rPr>
        <sz val="10"/>
        <rFont val="Arial"/>
        <family val="2"/>
      </rPr>
      <t xml:space="preserve"> 2006 :</t>
    </r>
  </si>
  <si>
    <t>An even more relevant benchmark would consist in adjusting foreign WACC to Belgium's corporate tax rate (adjusted for the notional discount).</t>
  </si>
  <si>
    <t>In contrast with BIPT 2010, the new value is excluded from regulators' average &amp; median WACC, whereas the previous value still in application is included.</t>
  </si>
  <si>
    <t>with updated sorting ! + XY labels !</t>
  </si>
  <si>
    <t>6th /15</t>
  </si>
  <si>
    <t>= Mobile</t>
  </si>
  <si>
    <r>
      <t xml:space="preserve">WACC* </t>
    </r>
    <r>
      <rPr>
        <sz val="10"/>
        <rFont val="Arial"/>
        <family val="2"/>
      </rPr>
      <t xml:space="preserve">(after </t>
    </r>
    <r>
      <rPr>
        <sz val="10"/>
        <rFont val="Symbol"/>
        <family val="1"/>
        <charset val="2"/>
      </rPr>
      <t>D</t>
    </r>
    <r>
      <rPr>
        <sz val="10"/>
        <rFont val="Arial"/>
        <family val="2"/>
      </rPr>
      <t>not)</t>
    </r>
  </si>
  <si>
    <t>F/M avg.</t>
  </si>
  <si>
    <r>
      <rPr>
        <b/>
        <sz val="10"/>
        <rFont val="Symbol"/>
        <family val="1"/>
        <charset val="2"/>
      </rPr>
      <t xml:space="preserve">D </t>
    </r>
    <r>
      <rPr>
        <b/>
        <sz val="10"/>
        <rFont val="Arial"/>
        <family val="2"/>
      </rPr>
      <t>M-F</t>
    </r>
  </si>
  <si>
    <t>(UK Mobile 3-year old.)</t>
  </si>
  <si>
    <t>A WACC decrease and a narrowing M-F gap also observed elsewhere in Europe :</t>
  </si>
  <si>
    <r>
      <rPr>
        <sz val="10"/>
        <rFont val="Symbol"/>
        <family val="1"/>
        <charset val="2"/>
      </rPr>
      <t>D</t>
    </r>
    <r>
      <rPr>
        <sz val="9"/>
        <rFont val="Arial"/>
        <family val="2"/>
      </rPr>
      <t xml:space="preserve"> (</t>
    </r>
    <r>
      <rPr>
        <sz val="10"/>
        <rFont val="Arial"/>
        <family val="2"/>
      </rPr>
      <t>2014 - 2010)</t>
    </r>
  </si>
  <si>
    <t>NRAs WACC avg.</t>
  </si>
  <si>
    <t xml:space="preserve">Consultation Version </t>
  </si>
  <si>
    <t>FINAL BIPT 2014 vs. Consultation Version</t>
  </si>
  <si>
    <t>Consultation Version vs. BIPT 2010</t>
  </si>
  <si>
    <t>Vs. Previous Decisions</t>
  </si>
  <si>
    <t>Vs. European Regulators</t>
  </si>
  <si>
    <t>Vs. Consultation Version</t>
  </si>
  <si>
    <r>
      <rPr>
        <b/>
        <sz val="10"/>
        <color rgb="FFC00000"/>
        <rFont val="Symbol"/>
        <family val="1"/>
        <charset val="2"/>
      </rPr>
      <t>D</t>
    </r>
    <r>
      <rPr>
        <b/>
        <sz val="10"/>
        <color rgb="FFC00000"/>
        <rFont val="Arial"/>
        <family val="2"/>
      </rPr>
      <t xml:space="preserve"> M-F</t>
    </r>
  </si>
  <si>
    <r>
      <rPr>
        <b/>
        <sz val="10"/>
        <color rgb="FFC00000"/>
        <rFont val="Symbol"/>
        <family val="1"/>
        <charset val="2"/>
      </rPr>
      <t>D</t>
    </r>
    <r>
      <rPr>
        <b/>
        <sz val="10"/>
        <color rgb="FFC00000"/>
        <rFont val="Arial"/>
        <family val="2"/>
      </rPr>
      <t>not</t>
    </r>
  </si>
  <si>
    <t>BIPT WACC are lower than averages of their less recent peers - as they were in 2010,</t>
  </si>
  <si>
    <t>M - F</t>
  </si>
  <si>
    <t>Moy. F/M</t>
  </si>
  <si>
    <t>BRIO 08 &amp; Mob. 06</t>
  </si>
  <si>
    <r>
      <t xml:space="preserve">WACC - </t>
    </r>
    <r>
      <rPr>
        <sz val="10"/>
        <rFont val="Symbol"/>
        <family val="1"/>
        <charset val="2"/>
      </rPr>
      <t>D</t>
    </r>
    <r>
      <rPr>
        <sz val="10"/>
        <rFont val="Arial"/>
        <family val="2"/>
      </rPr>
      <t>not</t>
    </r>
  </si>
  <si>
    <t>Post-Consultation comments</t>
  </si>
  <si>
    <r>
      <rPr>
        <sz val="10"/>
        <rFont val="Symbol"/>
        <family val="1"/>
        <charset val="2"/>
      </rPr>
      <t>®</t>
    </r>
    <r>
      <rPr>
        <sz val="9"/>
        <rFont val="Arial"/>
        <family val="2"/>
      </rPr>
      <t xml:space="preserve"> </t>
    </r>
    <r>
      <rPr>
        <sz val="10"/>
        <rFont val="Arial"/>
        <family val="2"/>
      </rPr>
      <t>Same remark for Mobile,</t>
    </r>
  </si>
  <si>
    <t>Revised parameters / items :</t>
  </si>
  <si>
    <t>Gearing</t>
  </si>
  <si>
    <t>European ranking now carried out with Belgian WACC*.</t>
  </si>
  <si>
    <t>TO MS WORD</t>
  </si>
  <si>
    <t>FINAL DETERMINATION</t>
  </si>
  <si>
    <t>6. Coût du Capital</t>
  </si>
  <si>
    <t>&lt;</t>
  </si>
  <si>
    <t>CONSULTATION REVIEW</t>
  </si>
  <si>
    <t>To MS Word</t>
  </si>
  <si>
    <t>z =</t>
  </si>
  <si>
    <r>
      <t xml:space="preserve">Hamada with </t>
    </r>
    <r>
      <rPr>
        <sz val="10"/>
        <color theme="0" tint="-0.249977111117893"/>
        <rFont val="Symbol"/>
        <family val="1"/>
        <charset val="2"/>
      </rPr>
      <t>b</t>
    </r>
    <r>
      <rPr>
        <sz val="10"/>
        <color theme="0" tint="-0.249977111117893"/>
        <rFont val="Arial"/>
        <family val="2"/>
      </rPr>
      <t>d</t>
    </r>
  </si>
  <si>
    <r>
      <t>Δnot</t>
    </r>
    <r>
      <rPr>
        <sz val="10"/>
        <rFont val="Arial"/>
        <family val="2"/>
      </rPr>
      <t xml:space="preserve"> = t/(1-t).(1-g).Rnot.En/E</t>
    </r>
  </si>
  <si>
    <t>Impact d / WACC</t>
  </si>
  <si>
    <t>g.d / WACC</t>
  </si>
  <si>
    <r>
      <rPr>
        <sz val="10"/>
        <color theme="1" tint="0.34998626667073579"/>
        <rFont val="Symbol"/>
        <family val="1"/>
        <charset val="2"/>
      </rPr>
      <t>D</t>
    </r>
    <r>
      <rPr>
        <sz val="10"/>
        <color theme="1" tint="0.34998626667073579"/>
        <rFont val="Arial"/>
        <family val="2"/>
      </rPr>
      <t>.Poids</t>
    </r>
  </si>
  <si>
    <r>
      <rPr>
        <sz val="10"/>
        <color theme="1" tint="0.34998626667073579"/>
        <rFont val="Symbol"/>
        <family val="1"/>
        <charset val="2"/>
      </rPr>
      <t>D</t>
    </r>
    <r>
      <rPr>
        <sz val="10"/>
        <color theme="1" tint="0.34998626667073579"/>
        <rFont val="Arial"/>
        <family val="2"/>
      </rPr>
      <t>not</t>
    </r>
  </si>
  <si>
    <t>Taux d’intérêt notionnel</t>
  </si>
  <si>
    <t>Impact</t>
  </si>
  <si>
    <t>Levier financier sur pondération seult</t>
  </si>
  <si>
    <t>Inv. Prix sur actif net</t>
  </si>
  <si>
    <t>Poids 2010</t>
  </si>
  <si>
    <t>Total paramètres généraux</t>
  </si>
  <si>
    <t>Total paramètres spécifiques</t>
  </si>
  <si>
    <t>Prime de dette iso-notation</t>
  </si>
  <si>
    <t>Impact Fixe</t>
  </si>
  <si>
    <t>Impact Mobile</t>
  </si>
  <si>
    <r>
      <rPr>
        <sz val="10"/>
        <rFont val="Symbol"/>
        <family val="1"/>
        <charset val="2"/>
      </rPr>
      <t>D</t>
    </r>
    <r>
      <rPr>
        <sz val="10"/>
        <rFont val="Arial"/>
        <family val="2"/>
      </rPr>
      <t xml:space="preserve"> 2014-2010</t>
    </r>
  </si>
  <si>
    <t>Évolution 2014-2010 des paramètres WACC et impacts sur les WACC</t>
  </si>
  <si>
    <t>Impacts avec poids 2010 des paramètres.</t>
  </si>
  <si>
    <r>
      <rPr>
        <sz val="10"/>
        <rFont val="Symbol"/>
        <family val="1"/>
        <charset val="2"/>
      </rPr>
      <t>D</t>
    </r>
    <r>
      <rPr>
        <sz val="10"/>
        <rFont val="Arial"/>
        <family val="2"/>
      </rPr>
      <t xml:space="preserve"> Consultation</t>
    </r>
  </si>
  <si>
    <t>Fixe 2013</t>
  </si>
  <si>
    <r>
      <rPr>
        <sz val="10"/>
        <rFont val="Symbol"/>
        <family val="1"/>
        <charset val="2"/>
      </rPr>
      <t>D</t>
    </r>
    <r>
      <rPr>
        <sz val="9"/>
        <rFont val="Arial"/>
        <family val="2"/>
      </rPr>
      <t xml:space="preserve"> </t>
    </r>
    <r>
      <rPr>
        <i/>
        <sz val="9"/>
        <rFont val="Arial"/>
        <family val="2"/>
      </rPr>
      <t>Telenet</t>
    </r>
  </si>
  <si>
    <r>
      <rPr>
        <b/>
        <sz val="10"/>
        <rFont val="Symbol"/>
        <family val="1"/>
        <charset val="2"/>
      </rPr>
      <t>D</t>
    </r>
    <r>
      <rPr>
        <b/>
        <sz val="10"/>
        <rFont val="Arial"/>
        <family val="2"/>
      </rPr>
      <t xml:space="preserve"> Consultation</t>
    </r>
  </si>
  <si>
    <r>
      <t xml:space="preserve"> </t>
    </r>
    <r>
      <rPr>
        <sz val="10"/>
        <rFont val="Symbol"/>
        <family val="1"/>
        <charset val="2"/>
      </rPr>
      <t>D</t>
    </r>
    <r>
      <rPr>
        <sz val="10"/>
        <rFont val="Arial"/>
        <family val="2"/>
      </rPr>
      <t>not</t>
    </r>
  </si>
  <si>
    <t>Paramètres WACC complets des opérateurs belges, après et avant consultation</t>
  </si>
  <si>
    <t>Sur la version de consultation, l'écart marginal de 2 pts de base entre les WACC Mobile et Mobistar (Mobile à plus de 95%) provenait seulement du levier financier (28% Mobistar, 27,5% Mobile).</t>
  </si>
  <si>
    <t>Évolution des paramètres WACC et impacts sur les WACC</t>
  </si>
  <si>
    <t>Évolution 2014-2010 des WACC des opérateurs hypothétiques belges</t>
  </si>
  <si>
    <t>Évolution des WACC des opérateurs hypothétiques belges</t>
  </si>
  <si>
    <t>Poids 2013</t>
  </si>
  <si>
    <r>
      <t xml:space="preserve">Intervient aussi sur </t>
    </r>
    <r>
      <rPr>
        <sz val="10"/>
        <color theme="1" tint="0.499984740745262"/>
        <rFont val="Symbol"/>
        <family val="1"/>
        <charset val="2"/>
      </rPr>
      <t>b</t>
    </r>
    <r>
      <rPr>
        <sz val="10"/>
        <color theme="1" tint="0.499984740745262"/>
        <rFont val="Arial"/>
        <family val="2"/>
      </rPr>
      <t>d.</t>
    </r>
  </si>
  <si>
    <t>we.CRP</t>
  </si>
  <si>
    <t>-we.t.Rnot</t>
  </si>
  <si>
    <t>-we.t.Eb/E</t>
  </si>
  <si>
    <r>
      <t>Poids avec</t>
    </r>
    <r>
      <rPr>
        <b/>
        <sz val="10"/>
        <color theme="1" tint="0.34998626667073579"/>
        <rFont val="Arial"/>
        <family val="2"/>
      </rPr>
      <t xml:space="preserve"> we = (1-g)/(1-t) </t>
    </r>
  </si>
  <si>
    <t>we+g</t>
  </si>
  <si>
    <r>
      <t>we.</t>
    </r>
    <r>
      <rPr>
        <sz val="10"/>
        <color theme="1" tint="0.34998626667073579"/>
        <rFont val="Symbol"/>
        <family val="1"/>
        <charset val="2"/>
      </rPr>
      <t>b</t>
    </r>
    <r>
      <rPr>
        <sz val="10"/>
        <color theme="1" tint="0.34998626667073579"/>
        <rFont val="Arial"/>
        <family val="2"/>
      </rPr>
      <t>e</t>
    </r>
  </si>
  <si>
    <r>
      <t>we.</t>
    </r>
    <r>
      <rPr>
        <sz val="10"/>
        <color theme="1" tint="0.34998626667073579"/>
        <rFont val="Symbol"/>
        <family val="1"/>
        <charset val="2"/>
      </rPr>
      <t>l</t>
    </r>
  </si>
  <si>
    <r>
      <t xml:space="preserve">WACC - </t>
    </r>
    <r>
      <rPr>
        <sz val="10"/>
        <color theme="1" tint="0.34998626667073579"/>
        <rFont val="Symbol"/>
        <family val="1"/>
        <charset val="2"/>
      </rPr>
      <t>D</t>
    </r>
    <r>
      <rPr>
        <sz val="10"/>
        <color theme="1" tint="0.34998626667073579"/>
        <rFont val="Arial"/>
        <family val="2"/>
      </rPr>
      <t>not</t>
    </r>
  </si>
  <si>
    <r>
      <rPr>
        <sz val="10"/>
        <color theme="1" tint="0.34998626667073579"/>
        <rFont val="Symbol"/>
        <family val="1"/>
        <charset val="2"/>
      </rPr>
      <t>D</t>
    </r>
    <r>
      <rPr>
        <sz val="10"/>
        <color theme="1" tint="0.34998626667073579"/>
        <rFont val="Arial"/>
        <family val="2"/>
      </rPr>
      <t xml:space="preserve"> WACC* Consultation</t>
    </r>
  </si>
  <si>
    <t>Évolution des paramètres WACC</t>
  </si>
  <si>
    <t>Coûts pondérés</t>
  </si>
  <si>
    <t>Impacts avec poids de la version de consultation.</t>
  </si>
  <si>
    <t>Change SPs columns' order + Rnot with general parameters.</t>
  </si>
  <si>
    <t>Reliquat</t>
  </si>
  <si>
    <r>
      <rPr>
        <sz val="10"/>
        <color theme="1" tint="0.499984740745262"/>
        <rFont val="Symbol"/>
        <family val="1"/>
        <charset val="2"/>
      </rPr>
      <t>D</t>
    </r>
    <r>
      <rPr>
        <sz val="10"/>
        <color theme="1" tint="0.499984740745262"/>
        <rFont val="Arial"/>
        <family val="2"/>
      </rPr>
      <t>g.(</t>
    </r>
    <r>
      <rPr>
        <sz val="10"/>
        <color theme="1" tint="0.499984740745262"/>
        <rFont val="Symbol"/>
        <family val="1"/>
        <charset val="2"/>
      </rPr>
      <t>D</t>
    </r>
    <r>
      <rPr>
        <sz val="10"/>
        <color theme="1" tint="0.499984740745262"/>
        <rFont val="Arial"/>
        <family val="2"/>
      </rPr>
      <t>Cd-</t>
    </r>
    <r>
      <rPr>
        <sz val="10"/>
        <color theme="1" tint="0.499984740745262"/>
        <rFont val="Symbol"/>
        <family val="1"/>
        <charset val="2"/>
      </rPr>
      <t>D</t>
    </r>
    <r>
      <rPr>
        <sz val="10"/>
        <color theme="1" tint="0.499984740745262"/>
        <rFont val="Arial"/>
        <family val="2"/>
      </rPr>
      <t>Ce/(1-t))</t>
    </r>
  </si>
  <si>
    <t>Impact combiné g &amp; rating par soustraction hors :</t>
  </si>
  <si>
    <t>- Impact de l'intégration de bd,</t>
  </si>
  <si>
    <t>- Impact de D/Ea (qui impacte g et rating) sur Eb/E.</t>
  </si>
  <si>
    <r>
      <t>Lambda (</t>
    </r>
    <r>
      <rPr>
        <sz val="10"/>
        <color theme="0" tint="-0.34998626667073579"/>
        <rFont val="Symbol"/>
        <family val="1"/>
        <charset val="2"/>
      </rPr>
      <t>b</t>
    </r>
    <r>
      <rPr>
        <sz val="10"/>
        <color theme="0" tint="-0.34998626667073579"/>
        <rFont val="Arial"/>
        <family val="2"/>
      </rPr>
      <t>e pour 2010)</t>
    </r>
  </si>
  <si>
    <r>
      <rPr>
        <sz val="10"/>
        <color theme="1" tint="0.34998626667073579"/>
        <rFont val="Symbol"/>
        <family val="1"/>
        <charset val="2"/>
      </rPr>
      <t>D</t>
    </r>
    <r>
      <rPr>
        <sz val="10"/>
        <color theme="1" tint="0.34998626667073579"/>
        <rFont val="Arial"/>
        <family val="2"/>
      </rPr>
      <t xml:space="preserve"> Consult.</t>
    </r>
  </si>
  <si>
    <r>
      <t xml:space="preserve">- Impact de la notation sur </t>
    </r>
    <r>
      <rPr>
        <sz val="10"/>
        <color theme="1" tint="0.34998626667073579"/>
        <rFont val="Symbol"/>
        <family val="1"/>
        <charset val="2"/>
      </rPr>
      <t>b</t>
    </r>
    <r>
      <rPr>
        <i/>
        <sz val="10"/>
        <color theme="1" tint="0.34998626667073579"/>
        <rFont val="Arial"/>
        <family val="2"/>
      </rPr>
      <t>d,</t>
    </r>
  </si>
  <si>
    <r>
      <rPr>
        <sz val="10"/>
        <color theme="1"/>
        <rFont val="Symbol"/>
        <family val="1"/>
        <charset val="2"/>
      </rPr>
      <t>D</t>
    </r>
    <r>
      <rPr>
        <sz val="10"/>
        <color theme="1"/>
        <rFont val="Arial"/>
        <family val="2"/>
      </rPr>
      <t xml:space="preserve"> 2014-2010</t>
    </r>
  </si>
  <si>
    <r>
      <rPr>
        <sz val="10"/>
        <color theme="0" tint="-0.34998626667073579"/>
        <rFont val="Symbol"/>
        <family val="1"/>
        <charset val="2"/>
      </rPr>
      <t>D</t>
    </r>
    <r>
      <rPr>
        <sz val="10"/>
        <color theme="0" tint="-0.34998626667073579"/>
        <rFont val="Arial"/>
        <family val="2"/>
      </rPr>
      <t>d iso-notation 2010</t>
    </r>
  </si>
  <si>
    <t>avec les paramètres spécifiques.</t>
  </si>
  <si>
    <r>
      <t>Hors mutiples impacts croissés (</t>
    </r>
    <r>
      <rPr>
        <i/>
        <sz val="10"/>
        <color theme="1" tint="0.34998626667073579"/>
        <rFont val="Symbol"/>
        <family val="1"/>
        <charset val="2"/>
      </rPr>
      <t>D</t>
    </r>
    <r>
      <rPr>
        <i/>
        <sz val="10"/>
        <color theme="1" tint="0.34998626667073579"/>
        <rFont val="Arial"/>
        <family val="2"/>
      </rPr>
      <t>x.</t>
    </r>
    <r>
      <rPr>
        <i/>
        <sz val="10"/>
        <color theme="1" tint="0.34998626667073579"/>
        <rFont val="Symbol"/>
        <family val="1"/>
        <charset val="2"/>
      </rPr>
      <t>D</t>
    </r>
    <r>
      <rPr>
        <i/>
        <sz val="10"/>
        <color theme="1" tint="0.34998626667073579"/>
        <rFont val="Arial"/>
        <family val="2"/>
      </rPr>
      <t xml:space="preserve">y, etc.) </t>
    </r>
  </si>
  <si>
    <t>Ne peut remplacer une vraie analyse de sensibilité</t>
  </si>
  <si>
    <t>avec des tableaux croisés dynamiques.</t>
  </si>
  <si>
    <r>
      <rPr>
        <sz val="10"/>
        <color theme="1"/>
        <rFont val="Symbol"/>
        <family val="1"/>
        <charset val="2"/>
      </rPr>
      <t>D</t>
    </r>
    <r>
      <rPr>
        <sz val="10"/>
        <color theme="1"/>
        <rFont val="Arial"/>
        <family val="2"/>
      </rPr>
      <t>not</t>
    </r>
  </si>
  <si>
    <t>we.ERP.(1+z); z=(1-t).D/E</t>
  </si>
  <si>
    <t xml:space="preserve">Poids trop compliqué </t>
  </si>
  <si>
    <r>
      <t xml:space="preserve">(impact aussi sur </t>
    </r>
    <r>
      <rPr>
        <sz val="10"/>
        <color theme="1" tint="0.499984740745262"/>
        <rFont val="Symbol"/>
        <family val="1"/>
        <charset val="2"/>
      </rPr>
      <t>b</t>
    </r>
    <r>
      <rPr>
        <sz val="10"/>
        <color theme="1" tint="0.499984740745262"/>
        <rFont val="Arial"/>
        <family val="2"/>
      </rPr>
      <t>e)</t>
    </r>
  </si>
  <si>
    <r>
      <t>Et hors mutiples impacts croissés (</t>
    </r>
    <r>
      <rPr>
        <sz val="10"/>
        <color theme="1" tint="0.34998626667073579"/>
        <rFont val="Symbol"/>
        <family val="1"/>
        <charset val="2"/>
      </rPr>
      <t>D</t>
    </r>
    <r>
      <rPr>
        <sz val="10"/>
        <color theme="1" tint="0.34998626667073579"/>
        <rFont val="Arial"/>
        <family val="2"/>
      </rPr>
      <t>x.</t>
    </r>
    <r>
      <rPr>
        <sz val="10"/>
        <color theme="1" tint="0.34998626667073579"/>
        <rFont val="Symbol"/>
        <family val="1"/>
        <charset val="2"/>
      </rPr>
      <t>D</t>
    </r>
    <r>
      <rPr>
        <sz val="10"/>
        <color theme="1" tint="0.34998626667073579"/>
        <rFont val="Arial"/>
        <family val="2"/>
      </rPr>
      <t>y, etc.).</t>
    </r>
  </si>
  <si>
    <r>
      <rPr>
        <sz val="10"/>
        <color theme="1" tint="0.34998626667073579"/>
        <rFont val="Symbol"/>
        <family val="1"/>
        <charset val="2"/>
      </rPr>
      <t>®</t>
    </r>
    <r>
      <rPr>
        <sz val="10"/>
        <color theme="1" tint="0.34998626667073579"/>
        <rFont val="Arial"/>
        <family val="2"/>
      </rPr>
      <t xml:space="preserve"> Trop simplificateur, induit sans doute en erreur.</t>
    </r>
  </si>
  <si>
    <t>Évolution 2014-2010 des paramètres WACC et impacts</t>
  </si>
  <si>
    <t>Colonnes impacts non utilisées.</t>
  </si>
  <si>
    <t>(Tableau intermédiaire, non reproduit, alimentant les 3 précédents.)</t>
  </si>
  <si>
    <t>Consultation</t>
  </si>
  <si>
    <r>
      <rPr>
        <b/>
        <sz val="10"/>
        <color rgb="FFC00000"/>
        <rFont val="Symbol"/>
        <family val="1"/>
        <charset val="2"/>
      </rPr>
      <t>D</t>
    </r>
    <r>
      <rPr>
        <b/>
        <sz val="9"/>
        <color rgb="FFC00000"/>
        <rFont val="Arial"/>
        <family val="2"/>
      </rPr>
      <t xml:space="preserve"> </t>
    </r>
    <r>
      <rPr>
        <b/>
        <sz val="10"/>
        <color rgb="FFC00000"/>
        <rFont val="Arial"/>
        <family val="2"/>
      </rPr>
      <t>Consultation</t>
    </r>
  </si>
  <si>
    <r>
      <rPr>
        <sz val="10"/>
        <color rgb="FFC00000"/>
        <rFont val="Symbol"/>
        <family val="1"/>
        <charset val="2"/>
      </rPr>
      <t>D</t>
    </r>
    <r>
      <rPr>
        <sz val="9"/>
        <color rgb="FFC00000"/>
        <rFont val="Arial"/>
        <family val="2"/>
      </rPr>
      <t xml:space="preserve"> </t>
    </r>
    <r>
      <rPr>
        <sz val="10"/>
        <color rgb="FFC00000"/>
        <rFont val="Arial"/>
        <family val="2"/>
      </rPr>
      <t>Consultation</t>
    </r>
  </si>
  <si>
    <t>Final</t>
  </si>
  <si>
    <r>
      <rPr>
        <sz val="10"/>
        <color theme="1" tint="0.34998626667073579"/>
        <rFont val="Symbol"/>
        <family val="1"/>
        <charset val="2"/>
      </rPr>
      <t xml:space="preserve">D </t>
    </r>
    <r>
      <rPr>
        <sz val="9"/>
        <color theme="1" tint="0.34998626667073579"/>
        <rFont val="Arial"/>
        <family val="2"/>
      </rPr>
      <t>(</t>
    </r>
    <r>
      <rPr>
        <sz val="10"/>
        <color theme="1" tint="0.34998626667073579"/>
        <rFont val="Arial"/>
        <family val="2"/>
      </rPr>
      <t>2010 - 2008/06)</t>
    </r>
  </si>
  <si>
    <r>
      <t xml:space="preserve">2010 </t>
    </r>
    <r>
      <rPr>
        <sz val="10"/>
        <color theme="1" tint="0.34998626667073579"/>
        <rFont val="Symbol"/>
        <family val="1"/>
        <charset val="2"/>
      </rPr>
      <t>D</t>
    </r>
    <r>
      <rPr>
        <sz val="9"/>
        <color theme="1" tint="0.34998626667073579"/>
        <rFont val="Arial"/>
        <family val="2"/>
      </rPr>
      <t xml:space="preserve"> (</t>
    </r>
    <r>
      <rPr>
        <sz val="10"/>
        <color theme="1" tint="0.34998626667073579"/>
        <rFont val="Arial"/>
        <family val="2"/>
      </rPr>
      <t>BIPT - NRAs)</t>
    </r>
  </si>
  <si>
    <t>Tables &amp; graphs for MS Word reports: Final Determination &amp; Consultation Review. Includes parameters' WACC impacts.</t>
  </si>
  <si>
    <r>
      <t xml:space="preserve">2014 </t>
    </r>
    <r>
      <rPr>
        <sz val="10"/>
        <rFont val="Symbol"/>
        <family val="1"/>
        <charset val="2"/>
      </rPr>
      <t>D</t>
    </r>
    <r>
      <rPr>
        <sz val="9"/>
        <rFont val="Arial"/>
        <family val="2"/>
      </rPr>
      <t xml:space="preserve"> (</t>
    </r>
    <r>
      <rPr>
        <sz val="10"/>
        <rFont val="Arial"/>
        <family val="2"/>
      </rPr>
      <t>BIPT - NRAs)</t>
    </r>
  </si>
  <si>
    <t>Impact spécifiques / baisse du WACC</t>
  </si>
  <si>
    <t>- Through New Ebitda/Eb, also from analysts, for E/Eb;</t>
  </si>
  <si>
    <t>- Above revised gearings (with opposite WACC impact);</t>
  </si>
  <si>
    <t>- Fixed unchanged (with 7 new values);</t>
  </si>
  <si>
    <t>- Mobile 6/15 vs. 5/14 (with 4 new values);</t>
  </si>
  <si>
    <r>
      <t xml:space="preserve">- With comparable rankings </t>
    </r>
    <r>
      <rPr>
        <sz val="10"/>
        <rFont val="Symbol"/>
        <family val="1"/>
        <charset val="2"/>
      </rPr>
      <t>®</t>
    </r>
  </si>
  <si>
    <r>
      <t xml:space="preserve">- And when the M-F spread was reduced ahead of peers </t>
    </r>
    <r>
      <rPr>
        <sz val="10"/>
        <rFont val="Symbol"/>
        <family val="1"/>
        <charset val="2"/>
      </rPr>
      <t>¯</t>
    </r>
  </si>
  <si>
    <r>
      <rPr>
        <sz val="10"/>
        <color theme="0" tint="-0.249977111117893"/>
        <rFont val="Wingdings 3"/>
        <family val="1"/>
        <charset val="2"/>
      </rPr>
      <t>9</t>
    </r>
    <r>
      <rPr>
        <sz val="10"/>
        <color theme="0" tint="-0.249977111117893"/>
        <rFont val="Arial"/>
        <family val="2"/>
      </rPr>
      <t xml:space="preserve"> Without new term</t>
    </r>
  </si>
  <si>
    <t>Through new estimates for EV/Ebitda and D/Ebitda from equity analysts' forecats provided by Belgacom and Mobistar, then adjusted for OL &amp; normalized (Belgacom's D/Ebitda from peers).</t>
  </si>
  <si>
    <t>Asset Betas are stable in Hamada definition (yet likely decreasing if debt Betas were integrated as well in 2010).</t>
  </si>
  <si>
    <r>
      <t xml:space="preserve">- Lower WACC rates primarily because of </t>
    </r>
    <r>
      <rPr>
        <b/>
        <sz val="10"/>
        <rFont val="Arial"/>
        <family val="2"/>
      </rPr>
      <t xml:space="preserve">lower Rf </t>
    </r>
    <r>
      <rPr>
        <sz val="10"/>
        <rFont val="Arial"/>
        <family val="2"/>
      </rPr>
      <t>(in spite of the new LT adjustment): this single factor more than outweights the addition of a CRP for Belgium (would have been small in 2010), a slightly higher ERP, and a lower Rnot.</t>
    </r>
  </si>
  <si>
    <r>
      <rPr>
        <sz val="10"/>
        <color theme="1"/>
        <rFont val="Symbol"/>
        <family val="1"/>
        <charset val="2"/>
      </rPr>
      <t>D</t>
    </r>
    <r>
      <rPr>
        <sz val="10"/>
        <color theme="1"/>
        <rFont val="Arial"/>
        <family val="2"/>
      </rPr>
      <t xml:space="preserve"> Consult.</t>
    </r>
  </si>
  <si>
    <r>
      <t xml:space="preserve">Levier financier </t>
    </r>
    <r>
      <rPr>
        <i/>
        <sz val="10"/>
        <color theme="1"/>
        <rFont val="Arial"/>
        <family val="2"/>
      </rPr>
      <t>sur pondération seult</t>
    </r>
  </si>
  <si>
    <r>
      <t>Levier financier</t>
    </r>
    <r>
      <rPr>
        <i/>
        <sz val="10"/>
        <color theme="1"/>
        <rFont val="Arial"/>
        <family val="2"/>
      </rPr>
      <t xml:space="preserve"> sur pondération seult</t>
    </r>
  </si>
  <si>
    <t>Impact plus réduit sinon</t>
  </si>
  <si>
    <t>(Tableau non reproduit.)</t>
  </si>
  <si>
    <t>(Tableau alimentant tous les précédents.)</t>
  </si>
  <si>
    <t>we</t>
  </si>
  <si>
    <t>Poids : -we.t.Eb/E</t>
  </si>
  <si>
    <t>Cd-Ce/(1-t)</t>
  </si>
  <si>
    <r>
      <t xml:space="preserve">For the impact of revised D/Ebitda on SPs' </t>
    </r>
    <r>
      <rPr>
        <i/>
        <sz val="10"/>
        <color rgb="FFC00000"/>
        <rFont val="Arial"/>
        <family val="2"/>
      </rPr>
      <t>financial risk</t>
    </r>
    <r>
      <rPr>
        <sz val="10"/>
        <color rgb="FFC00000"/>
        <rFont val="Arial"/>
        <family val="2"/>
      </rPr>
      <t xml:space="preserve"> profiles (Mobile moving to </t>
    </r>
    <r>
      <rPr>
        <i/>
        <sz val="10"/>
        <color rgb="FFC00000"/>
        <rFont val="Arial"/>
        <family val="2"/>
      </rPr>
      <t>Intermediate</t>
    </r>
    <r>
      <rPr>
        <sz val="10"/>
        <color rgb="FFC00000"/>
        <rFont val="Arial"/>
        <family val="2"/>
      </rPr>
      <t xml:space="preserve"> as Fixed).</t>
    </r>
  </si>
  <si>
    <r>
      <rPr>
        <sz val="10"/>
        <color theme="0" tint="-0.249977111117893"/>
        <rFont val="Symbol"/>
        <family val="1"/>
        <charset val="2"/>
      </rPr>
      <t>b</t>
    </r>
    <r>
      <rPr>
        <sz val="10"/>
        <color theme="0" tint="-0.249977111117893"/>
        <rFont val="Arial"/>
        <family val="2"/>
      </rPr>
      <t>d revisited</t>
    </r>
  </si>
  <si>
    <t>Cd°</t>
  </si>
  <si>
    <t>Expected Default Loss</t>
  </si>
  <si>
    <t>CLR</t>
  </si>
  <si>
    <t>EDL</t>
  </si>
  <si>
    <t>(d-LP)/d</t>
  </si>
  <si>
    <r>
      <rPr>
        <sz val="10"/>
        <color theme="2" tint="-9.9978637043366805E-2"/>
        <rFont val="Symbol"/>
        <family val="1"/>
        <charset val="2"/>
      </rPr>
      <t>b</t>
    </r>
    <r>
      <rPr>
        <sz val="10"/>
        <color theme="2" tint="-9.9978637043366805E-2"/>
        <rFont val="Arial"/>
        <family val="2"/>
      </rPr>
      <t>d revisited</t>
    </r>
  </si>
  <si>
    <r>
      <t xml:space="preserve">To WACC 3 </t>
    </r>
    <r>
      <rPr>
        <sz val="10"/>
        <rFont val="Arial"/>
        <family val="2"/>
      </rPr>
      <t xml:space="preserve">(for revisited 2010 </t>
    </r>
    <r>
      <rPr>
        <sz val="10"/>
        <rFont val="Symbol"/>
        <family val="1"/>
        <charset val="2"/>
      </rPr>
      <t>b</t>
    </r>
    <r>
      <rPr>
        <sz val="10"/>
        <rFont val="Arial"/>
        <family val="2"/>
      </rPr>
      <t xml:space="preserve">d estimates) </t>
    </r>
  </si>
  <si>
    <t>&amp; English versions</t>
  </si>
  <si>
    <r>
      <rPr>
        <sz val="10"/>
        <rFont val="Symbol"/>
        <family val="1"/>
        <charset val="2"/>
      </rPr>
      <t>D</t>
    </r>
    <r>
      <rPr>
        <sz val="10"/>
        <rFont val="Arial"/>
        <family val="2"/>
      </rPr>
      <t xml:space="preserve"> </t>
    </r>
    <r>
      <rPr>
        <sz val="10"/>
        <rFont val="Symbol"/>
        <family val="1"/>
        <charset val="2"/>
      </rPr>
      <t>b</t>
    </r>
    <r>
      <rPr>
        <sz val="10"/>
        <rFont val="Arial"/>
        <family val="2"/>
      </rPr>
      <t xml:space="preserve">a 2014-2010 avec </t>
    </r>
    <r>
      <rPr>
        <sz val="10"/>
        <rFont val="Symbol"/>
        <family val="1"/>
        <charset val="2"/>
      </rPr>
      <t>b</t>
    </r>
    <r>
      <rPr>
        <sz val="10"/>
        <rFont val="Arial"/>
        <family val="2"/>
      </rPr>
      <t>d</t>
    </r>
  </si>
  <si>
    <r>
      <rPr>
        <sz val="10"/>
        <rFont val="Symbol"/>
        <family val="1"/>
        <charset val="2"/>
      </rPr>
      <t>D</t>
    </r>
    <r>
      <rPr>
        <sz val="10"/>
        <rFont val="Arial"/>
        <family val="2"/>
      </rPr>
      <t xml:space="preserve"> "vrais" </t>
    </r>
    <r>
      <rPr>
        <sz val="10"/>
        <rFont val="Symbol"/>
        <family val="1"/>
        <charset val="2"/>
      </rPr>
      <t>b</t>
    </r>
    <r>
      <rPr>
        <sz val="10"/>
        <rFont val="Arial"/>
        <family val="2"/>
      </rPr>
      <t xml:space="preserve">d 2014-2010 </t>
    </r>
  </si>
  <si>
    <t>-1</t>
  </si>
  <si>
    <t xml:space="preserve">we.ERP </t>
  </si>
  <si>
    <t>-we.ERP.z = g.ERP</t>
  </si>
  <si>
    <t>5th /15</t>
  </si>
  <si>
    <r>
      <t xml:space="preserve">BIPT 2010 included similar graphs for NRAs </t>
    </r>
    <r>
      <rPr>
        <sz val="10"/>
        <color theme="0" tint="-0.499984740745262"/>
        <rFont val="Symbol"/>
        <family val="1"/>
        <charset val="2"/>
      </rPr>
      <t>D</t>
    </r>
    <r>
      <rPr>
        <sz val="10"/>
        <color theme="0" tint="-0.499984740745262"/>
        <rFont val="Arial"/>
        <family val="2"/>
      </rPr>
      <t xml:space="preserve"> Current-Previous WACC, Fixed &amp; Mobile, with variable validity periods. Given 2009/2010 susbtantial methodological revision, the objective of these graphs was to compare the revision impact on Belgian rates with NRAs D between reviews (generally involving less profound changes than BIPT 2010). </t>
    </r>
  </si>
  <si>
    <t>Not automatic : check formulae with updates!</t>
  </si>
  <si>
    <t>2008/06</t>
  </si>
  <si>
    <r>
      <t xml:space="preserve">- </t>
    </r>
    <r>
      <rPr>
        <sz val="10"/>
        <color rgb="FFCC0000"/>
        <rFont val="Symbol"/>
        <family val="1"/>
        <charset val="2"/>
      </rPr>
      <t>D</t>
    </r>
    <r>
      <rPr>
        <sz val="10"/>
        <color rgb="FFCC0000"/>
        <rFont val="Arial"/>
        <family val="2"/>
      </rPr>
      <t xml:space="preserve"> M-F 5/15 vs. 8/14.</t>
    </r>
  </si>
  <si>
    <t>3rd /12</t>
  </si>
  <si>
    <t>7th /12</t>
  </si>
  <si>
    <r>
      <t xml:space="preserve">- Remaining ± 1/3 WACC decreases due to specific parameters: </t>
    </r>
    <r>
      <rPr>
        <b/>
        <sz val="10"/>
        <rFont val="Arial"/>
        <family val="2"/>
      </rPr>
      <t>higher gearings</t>
    </r>
    <r>
      <rPr>
        <sz val="10"/>
        <rFont val="Arial"/>
        <family val="2"/>
      </rPr>
      <t xml:space="preserve"> (now incl. OL)</t>
    </r>
    <r>
      <rPr>
        <b/>
        <sz val="10"/>
        <rFont val="Arial"/>
        <family val="2"/>
      </rPr>
      <t xml:space="preserve"> especially for Mobile</t>
    </r>
    <r>
      <rPr>
        <sz val="10"/>
        <rFont val="Arial"/>
        <family val="2"/>
      </rPr>
      <t xml:space="preserve">, partially offset by lower credit ratings; and higher Eb/E (combined with higher g) compensating for Rnot decrease in </t>
    </r>
    <r>
      <rPr>
        <sz val="10"/>
        <rFont val="Symbol"/>
        <family val="1"/>
        <charset val="2"/>
      </rPr>
      <t>D</t>
    </r>
    <r>
      <rPr>
        <sz val="10"/>
        <rFont val="Arial"/>
        <family val="2"/>
      </rPr>
      <t>not.</t>
    </r>
  </si>
  <si>
    <r>
      <rPr>
        <b/>
        <sz val="10"/>
        <rFont val="Arial"/>
        <family val="2"/>
      </rPr>
      <t>A M-F spread = 0 because all F/M WACC parameters now match each other - except for credit ratings</t>
    </r>
    <r>
      <rPr>
        <sz val="10"/>
        <rFont val="Arial"/>
        <family val="2"/>
      </rPr>
      <t xml:space="preserve">, more precisely their business risk components (impact of remaining distinct competitive dynamics), </t>
    </r>
    <r>
      <rPr>
        <b/>
        <sz val="10"/>
        <rFont val="Arial"/>
        <family val="2"/>
      </rPr>
      <t>and Eb/E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</si>
</sst>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0.0"/>
    <numFmt numFmtId="166" formatCode="0.0%"/>
    <numFmt numFmtId="167" formatCode="[$-809]mmmm\ yyyy;@"/>
    <numFmt numFmtId="168" formatCode="_(* #,##0_);_(* \(#,##0\);_(* &quot;-&quot;_);_(@_)"/>
    <numFmt numFmtId="169" formatCode="0.000"/>
  </numFmts>
  <fonts count="125">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10"/>
      <color indexed="23"/>
      <name val="Arial"/>
      <family val="2"/>
    </font>
    <font>
      <sz val="8"/>
      <name val="Arial"/>
      <family val="2"/>
    </font>
    <font>
      <sz val="10"/>
      <name val="Arial"/>
      <family val="2"/>
    </font>
    <font>
      <sz val="10"/>
      <color indexed="23"/>
      <name val="Arial"/>
      <family val="2"/>
    </font>
    <font>
      <u/>
      <sz val="10"/>
      <name val="Arial"/>
      <family val="2"/>
    </font>
    <font>
      <sz val="8"/>
      <color indexed="81"/>
      <name val="Tahoma"/>
      <family val="2"/>
    </font>
    <font>
      <b/>
      <sz val="8"/>
      <color indexed="81"/>
      <name val="Tahoma"/>
      <family val="2"/>
    </font>
    <font>
      <sz val="11"/>
      <color rgb="FFFF0000"/>
      <name val="Calibri"/>
      <family val="2"/>
      <scheme val="minor"/>
    </font>
    <font>
      <u/>
      <sz val="9.35"/>
      <color theme="10"/>
      <name val="Calibri"/>
      <family val="2"/>
    </font>
    <font>
      <sz val="10"/>
      <color theme="1" tint="0.34998626667073579"/>
      <name val="Arial"/>
      <family val="2"/>
    </font>
    <font>
      <sz val="10"/>
      <color theme="1" tint="0.499984740745262"/>
      <name val="Arial"/>
      <family val="2"/>
    </font>
    <font>
      <sz val="10"/>
      <color theme="0" tint="-0.14999847407452621"/>
      <name val="Arial"/>
      <family val="2"/>
    </font>
    <font>
      <sz val="10"/>
      <color theme="0" tint="-0.499984740745262"/>
      <name val="Arial"/>
      <family val="2"/>
    </font>
    <font>
      <sz val="10"/>
      <color theme="1"/>
      <name val="Arial"/>
      <family val="2"/>
    </font>
    <font>
      <sz val="11"/>
      <name val="Calibri"/>
      <family val="2"/>
      <scheme val="minor"/>
    </font>
    <font>
      <sz val="8.5"/>
      <color rgb="FF000000"/>
      <name val="Arial"/>
      <family val="2"/>
    </font>
    <font>
      <sz val="11"/>
      <color theme="0" tint="-0.499984740745262"/>
      <name val="Calibri"/>
      <family val="2"/>
      <scheme val="minor"/>
    </font>
    <font>
      <b/>
      <sz val="10"/>
      <color theme="0"/>
      <name val="Arial"/>
      <family val="2"/>
    </font>
    <font>
      <b/>
      <sz val="10"/>
      <color theme="0" tint="-0.499984740745262"/>
      <name val="Arial"/>
      <family val="2"/>
    </font>
    <font>
      <sz val="10"/>
      <color rgb="FFFF0000"/>
      <name val="Arial"/>
      <family val="2"/>
    </font>
    <font>
      <sz val="10"/>
      <color theme="0" tint="-4.9989318521683403E-2"/>
      <name val="Arial"/>
      <family val="2"/>
    </font>
    <font>
      <sz val="10"/>
      <color theme="2" tint="-9.9978637043366805E-2"/>
      <name val="Arial"/>
      <family val="2"/>
    </font>
    <font>
      <sz val="11"/>
      <color theme="2" tint="-9.9978637043366805E-2"/>
      <name val="CMR12"/>
    </font>
    <font>
      <i/>
      <sz val="10"/>
      <name val="Arial"/>
      <family val="2"/>
    </font>
    <font>
      <b/>
      <sz val="11"/>
      <name val="Calibri"/>
      <family val="2"/>
      <scheme val="minor"/>
    </font>
    <font>
      <i/>
      <sz val="11"/>
      <name val="Calibri"/>
      <family val="2"/>
      <scheme val="minor"/>
    </font>
    <font>
      <b/>
      <i/>
      <sz val="10"/>
      <name val="Arial"/>
      <family val="2"/>
    </font>
    <font>
      <sz val="10"/>
      <color theme="0" tint="-0.34998626667073579"/>
      <name val="Arial"/>
      <family val="2"/>
    </font>
    <font>
      <sz val="10"/>
      <color rgb="FFFFC000"/>
      <name val="Arial"/>
      <family val="2"/>
    </font>
    <font>
      <i/>
      <sz val="10"/>
      <color rgb="FF7F7F7F"/>
      <name val="Arial"/>
      <family val="2"/>
    </font>
    <font>
      <sz val="10"/>
      <color rgb="FF7F7F7F"/>
      <name val="Arial"/>
      <family val="2"/>
    </font>
    <font>
      <sz val="10"/>
      <color rgb="FF0070C0"/>
      <name val="Arial"/>
      <family val="2"/>
    </font>
    <font>
      <sz val="10"/>
      <color theme="0" tint="-0.249977111117893"/>
      <name val="Arial"/>
      <family val="2"/>
    </font>
    <font>
      <b/>
      <sz val="10"/>
      <color rgb="FFFFC000"/>
      <name val="Arial"/>
      <family val="2"/>
    </font>
    <font>
      <sz val="10"/>
      <name val="Symbol"/>
      <family val="1"/>
      <charset val="2"/>
    </font>
    <font>
      <strike/>
      <sz val="10"/>
      <name val="Arial"/>
      <family val="2"/>
    </font>
    <font>
      <b/>
      <sz val="10"/>
      <color theme="0" tint="-0.249977111117893"/>
      <name val="Arial"/>
      <family val="2"/>
    </font>
    <font>
      <sz val="9"/>
      <name val="Arial"/>
      <family val="2"/>
    </font>
    <font>
      <sz val="10"/>
      <color rgb="FFA5A5A5"/>
      <name val="Arial"/>
      <family val="2"/>
    </font>
    <font>
      <sz val="10"/>
      <color theme="0"/>
      <name val="Arial"/>
      <family val="2"/>
    </font>
    <font>
      <sz val="8"/>
      <color indexed="8"/>
      <name val="Arial"/>
      <family val="2"/>
    </font>
    <font>
      <b/>
      <sz val="10"/>
      <name val="Symbol"/>
      <family val="1"/>
      <charset val="2"/>
    </font>
    <font>
      <b/>
      <sz val="9"/>
      <name val="Arial"/>
      <family val="2"/>
    </font>
    <font>
      <sz val="9"/>
      <color indexed="81"/>
      <name val="Tahoma"/>
      <family val="2"/>
    </font>
    <font>
      <sz val="10"/>
      <name val="Wingdings 2"/>
      <family val="1"/>
      <charset val="2"/>
    </font>
    <font>
      <i/>
      <sz val="10"/>
      <color theme="0" tint="-0.249977111117893"/>
      <name val="Arial"/>
      <family val="2"/>
    </font>
    <font>
      <sz val="10"/>
      <color theme="0" tint="-0.249977111117893"/>
      <name val="Symbol"/>
      <family val="1"/>
      <charset val="2"/>
    </font>
    <font>
      <b/>
      <u/>
      <sz val="10"/>
      <name val="Arial"/>
      <family val="2"/>
    </font>
    <font>
      <b/>
      <sz val="8.5"/>
      <name val="Arial"/>
      <family val="2"/>
    </font>
    <font>
      <b/>
      <sz val="10"/>
      <color rgb="FFC00000"/>
      <name val="Arial"/>
      <family val="2"/>
    </font>
    <font>
      <sz val="10"/>
      <color rgb="FFC00000"/>
      <name val="Arial"/>
      <family val="2"/>
    </font>
    <font>
      <sz val="9"/>
      <color indexed="81"/>
      <name val="Symbol"/>
      <family val="1"/>
      <charset val="2"/>
    </font>
    <font>
      <sz val="10"/>
      <color rgb="FFFFD03B"/>
      <name val="Arial"/>
      <family val="2"/>
    </font>
    <font>
      <sz val="10"/>
      <name val="Wingdings"/>
      <charset val="2"/>
    </font>
    <font>
      <sz val="9"/>
      <color indexed="81"/>
      <name val="Arial"/>
      <family val="2"/>
    </font>
    <font>
      <sz val="10"/>
      <color theme="1" tint="0.499984740745262"/>
      <name val="Symbol"/>
      <family val="1"/>
      <charset val="2"/>
    </font>
    <font>
      <u/>
      <sz val="10"/>
      <color theme="10"/>
      <name val="Arial"/>
      <family val="2"/>
    </font>
    <font>
      <sz val="10"/>
      <name val="Verdana"/>
      <family val="2"/>
    </font>
    <font>
      <sz val="8"/>
      <name val="Verdana"/>
      <family val="2"/>
    </font>
    <font>
      <b/>
      <sz val="8"/>
      <name val="Verdana"/>
      <family val="2"/>
    </font>
    <font>
      <sz val="9"/>
      <color rgb="FFFFDB69"/>
      <name val="Arial"/>
      <family val="2"/>
    </font>
    <font>
      <sz val="10"/>
      <color rgb="FFBFBFBF"/>
      <name val="Arial"/>
      <family val="2"/>
    </font>
    <font>
      <strike/>
      <sz val="10"/>
      <color theme="0" tint="-0.499984740745262"/>
      <name val="Arial"/>
      <family val="2"/>
    </font>
    <font>
      <b/>
      <sz val="10"/>
      <color rgb="FF000000"/>
      <name val="Arial"/>
      <family val="2"/>
    </font>
    <font>
      <sz val="10"/>
      <color rgb="FF000000"/>
      <name val="Arial"/>
      <family val="2"/>
    </font>
    <font>
      <i/>
      <sz val="10"/>
      <color theme="0" tint="-0.34998626667073579"/>
      <name val="Arial"/>
      <family val="2"/>
    </font>
    <font>
      <b/>
      <sz val="10"/>
      <color theme="0"/>
      <name val="Symbol"/>
      <family val="1"/>
      <charset val="2"/>
    </font>
    <font>
      <b/>
      <sz val="9"/>
      <color theme="0"/>
      <name val="Arial"/>
      <family val="2"/>
    </font>
    <font>
      <sz val="11"/>
      <name val="Arial"/>
      <family val="2"/>
    </font>
    <font>
      <b/>
      <sz val="11"/>
      <name val="Arial"/>
      <family val="2"/>
    </font>
    <font>
      <sz val="10"/>
      <color rgb="FFFFDC6D"/>
      <name val="Arial"/>
      <family val="2"/>
    </font>
    <font>
      <b/>
      <sz val="10"/>
      <color rgb="FFFFDC6D"/>
      <name val="Arial"/>
      <family val="2"/>
    </font>
    <font>
      <sz val="10"/>
      <color rgb="FF00B050"/>
      <name val="Arial"/>
      <family val="2"/>
    </font>
    <font>
      <i/>
      <sz val="10"/>
      <color rgb="FFC00000"/>
      <name val="Arial"/>
      <family val="2"/>
    </font>
    <font>
      <i/>
      <sz val="10"/>
      <color rgb="FF00B050"/>
      <name val="Arial"/>
      <family val="2"/>
    </font>
    <font>
      <sz val="10"/>
      <color theme="0" tint="-0.34998626667073579"/>
      <name val="Symbol"/>
      <family val="1"/>
      <charset val="2"/>
    </font>
    <font>
      <sz val="10"/>
      <color theme="0" tint="-0.34998626667073579"/>
      <name val="Wingdings 2"/>
      <family val="1"/>
      <charset val="2"/>
    </font>
    <font>
      <sz val="9"/>
      <color theme="0" tint="-0.34998626667073579"/>
      <name val="Arial"/>
      <family val="2"/>
    </font>
    <font>
      <sz val="10"/>
      <color theme="0" tint="-0.34998626667073579"/>
      <name val="Calibri"/>
      <family val="2"/>
      <scheme val="minor"/>
    </font>
    <font>
      <i/>
      <sz val="10"/>
      <color theme="0" tint="-0.34998626667073579"/>
      <name val="Symbol"/>
      <family val="1"/>
      <charset val="2"/>
    </font>
    <font>
      <sz val="10"/>
      <color theme="8" tint="0.39997558519241921"/>
      <name val="Arial"/>
      <family val="2"/>
    </font>
    <font>
      <sz val="9"/>
      <color theme="0" tint="-0.249977111117893"/>
      <name val="Arial"/>
      <family val="2"/>
    </font>
    <font>
      <sz val="10"/>
      <color theme="8" tint="0.39997558519241921"/>
      <name val="Symbol"/>
      <family val="1"/>
      <charset val="2"/>
    </font>
    <font>
      <sz val="7"/>
      <color theme="8" tint="0.39997558519241921"/>
      <name val="Arial"/>
      <family val="2"/>
    </font>
    <font>
      <b/>
      <sz val="10"/>
      <color theme="1"/>
      <name val="Arial"/>
      <family val="2"/>
    </font>
    <font>
      <b/>
      <sz val="10"/>
      <color rgb="FF00B050"/>
      <name val="Arial"/>
      <family val="2"/>
    </font>
    <font>
      <b/>
      <strike/>
      <sz val="10"/>
      <name val="Arial"/>
      <family val="2"/>
    </font>
    <font>
      <sz val="10"/>
      <color rgb="FFC00000"/>
      <name val="Symbol"/>
      <family val="1"/>
      <charset val="2"/>
    </font>
    <font>
      <b/>
      <sz val="10"/>
      <color rgb="FFC00000"/>
      <name val="Symbol"/>
      <family val="1"/>
      <charset val="2"/>
    </font>
    <font>
      <sz val="9"/>
      <color rgb="FFC00000"/>
      <name val="Arial"/>
      <family val="2"/>
    </font>
    <font>
      <b/>
      <sz val="9"/>
      <color rgb="FFC00000"/>
      <name val="Arial"/>
      <family val="2"/>
    </font>
    <font>
      <b/>
      <sz val="10"/>
      <color theme="1" tint="0.499984740745262"/>
      <name val="Arial"/>
      <family val="2"/>
    </font>
    <font>
      <sz val="10"/>
      <color rgb="FFCC0000"/>
      <name val="Arial"/>
      <family val="2"/>
    </font>
    <font>
      <sz val="10"/>
      <color rgb="FFCC0000"/>
      <name val="Symbol"/>
      <family val="1"/>
      <charset val="2"/>
    </font>
    <font>
      <b/>
      <u/>
      <sz val="10"/>
      <color theme="1"/>
      <name val="Arial"/>
      <family val="2"/>
    </font>
    <font>
      <sz val="10"/>
      <color theme="1"/>
      <name val="Symbol"/>
      <family val="1"/>
      <charset val="2"/>
    </font>
    <font>
      <b/>
      <u/>
      <sz val="10"/>
      <color theme="1" tint="0.34998626667073579"/>
      <name val="Arial"/>
      <family val="2"/>
    </font>
    <font>
      <b/>
      <sz val="10"/>
      <color theme="1" tint="0.34998626667073579"/>
      <name val="Arial"/>
      <family val="2"/>
    </font>
    <font>
      <sz val="10"/>
      <color theme="1" tint="0.34998626667073579"/>
      <name val="Symbol"/>
      <family val="1"/>
      <charset val="2"/>
    </font>
    <font>
      <b/>
      <sz val="10"/>
      <color theme="0" tint="-0.34998626667073579"/>
      <name val="Arial"/>
      <family val="2"/>
    </font>
    <font>
      <i/>
      <sz val="9"/>
      <name val="Arial"/>
      <family val="2"/>
    </font>
    <font>
      <sz val="9"/>
      <color theme="1" tint="0.34998626667073579"/>
      <name val="Arial"/>
      <family val="2"/>
    </font>
    <font>
      <i/>
      <sz val="10"/>
      <color theme="1" tint="0.34998626667073579"/>
      <name val="Arial"/>
      <family val="2"/>
    </font>
    <font>
      <i/>
      <sz val="10"/>
      <color theme="1" tint="0.34998626667073579"/>
      <name val="Symbol"/>
      <family val="1"/>
      <charset val="2"/>
    </font>
    <font>
      <i/>
      <sz val="10"/>
      <color theme="1"/>
      <name val="Arial"/>
      <family val="2"/>
    </font>
    <font>
      <u/>
      <sz val="10"/>
      <color theme="1" tint="0.34998626667073579"/>
      <name val="Arial"/>
      <family val="2"/>
    </font>
    <font>
      <sz val="10"/>
      <color theme="0" tint="-0.249977111117893"/>
      <name val="Wingdings 3"/>
      <family val="1"/>
      <charset val="2"/>
    </font>
    <font>
      <i/>
      <sz val="10"/>
      <color theme="2" tint="-9.9978637043366805E-2"/>
      <name val="Arial"/>
      <family val="2"/>
    </font>
    <font>
      <sz val="10"/>
      <color theme="2" tint="-9.9978637043366805E-2"/>
      <name val="Symbol"/>
      <family val="1"/>
      <charset val="2"/>
    </font>
    <font>
      <sz val="10"/>
      <color theme="0" tint="-0.499984740745262"/>
      <name val="Symbol"/>
      <family val="1"/>
      <charset val="2"/>
    </font>
  </fonts>
  <fills count="2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tint="-0.499984740745262"/>
        <bgColor indexed="64"/>
      </patternFill>
    </fill>
    <fill>
      <patternFill patternType="solid">
        <fgColor theme="2" tint="-0.249977111117893"/>
        <bgColor indexed="64"/>
      </patternFill>
    </fill>
    <fill>
      <patternFill patternType="solid">
        <fgColor theme="2"/>
        <bgColor indexed="64"/>
      </patternFill>
    </fill>
    <fill>
      <patternFill patternType="solid">
        <fgColor rgb="FFFFFF99"/>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C00000"/>
        <bgColor indexed="64"/>
      </patternFill>
    </fill>
    <fill>
      <patternFill patternType="solid">
        <fgColor theme="1" tint="0.499984740745262"/>
        <bgColor indexed="64"/>
      </patternFill>
    </fill>
    <fill>
      <patternFill patternType="solid">
        <fgColor rgb="FFFFFF00"/>
        <bgColor rgb="FF000000"/>
      </patternFill>
    </fill>
    <fill>
      <patternFill patternType="solid">
        <fgColor theme="2" tint="-9.9978637043366805E-2"/>
        <bgColor indexed="64"/>
      </patternFill>
    </fill>
    <fill>
      <patternFill patternType="solid">
        <fgColor indexed="42"/>
        <bgColor indexed="64"/>
      </patternFill>
    </fill>
    <fill>
      <patternFill patternType="solid">
        <fgColor rgb="FFFFFF99"/>
        <bgColor rgb="FF000000"/>
      </patternFill>
    </fill>
    <fill>
      <patternFill patternType="solid">
        <fgColor theme="0" tint="-0.499984740745262"/>
        <bgColor indexed="64"/>
      </patternFill>
    </fill>
    <fill>
      <patternFill patternType="solid">
        <fgColor rgb="FFFFD03B"/>
        <bgColor indexed="64"/>
      </patternFill>
    </fill>
    <fill>
      <patternFill patternType="solid">
        <fgColor theme="0"/>
        <bgColor indexed="64"/>
      </patternFill>
    </fill>
    <fill>
      <patternFill patternType="solid">
        <fgColor rgb="FFFFDC6D"/>
        <bgColor indexed="64"/>
      </patternFill>
    </fill>
  </fills>
  <borders count="10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Dashed">
        <color indexed="64"/>
      </left>
      <right style="thin">
        <color indexed="64"/>
      </right>
      <top style="mediumDashed">
        <color indexed="64"/>
      </top>
      <bottom style="thin">
        <color indexed="64"/>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diagonal/>
    </border>
    <border>
      <left/>
      <right style="mediumDashed">
        <color indexed="64"/>
      </right>
      <top/>
      <bottom/>
      <diagonal/>
    </border>
    <border>
      <left style="mediumDashed">
        <color indexed="64"/>
      </left>
      <right/>
      <top/>
      <bottom/>
      <diagonal/>
    </border>
    <border>
      <left/>
      <right style="mediumDashed">
        <color indexed="64"/>
      </right>
      <top style="thin">
        <color indexed="64"/>
      </top>
      <bottom/>
      <diagonal/>
    </border>
    <border>
      <left/>
      <right style="mediumDashed">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bottom style="thin">
        <color indexed="64"/>
      </bottom>
      <diagonal/>
    </border>
    <border>
      <left style="thin">
        <color indexed="64"/>
      </left>
      <right style="mediumDashed">
        <color indexed="64"/>
      </right>
      <top style="thin">
        <color indexed="64"/>
      </top>
      <bottom/>
      <diagonal/>
    </border>
    <border>
      <left style="thin">
        <color indexed="64"/>
      </left>
      <right style="mediumDashed">
        <color indexed="64"/>
      </right>
      <top/>
      <bottom style="thin">
        <color indexed="64"/>
      </bottom>
      <diagonal/>
    </border>
    <border>
      <left style="mediumDashed">
        <color indexed="64"/>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style="mediumDashed">
        <color indexed="64"/>
      </left>
      <right/>
      <top style="thin">
        <color indexed="64"/>
      </top>
      <bottom style="mediumDashed">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Dashed">
        <color indexed="64"/>
      </right>
      <top style="thin">
        <color indexed="64"/>
      </top>
      <bottom style="mediumDashed">
        <color indexed="64"/>
      </bottom>
      <diagonal/>
    </border>
    <border>
      <left style="thin">
        <color indexed="64"/>
      </left>
      <right style="mediumDashed">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style="mediumDashed">
        <color auto="1"/>
      </left>
      <right/>
      <top/>
      <bottom style="mediumDashed">
        <color auto="1"/>
      </bottom>
      <diagonal/>
    </border>
    <border>
      <left style="thin">
        <color indexed="64"/>
      </left>
      <right style="mediumDashed">
        <color indexed="64"/>
      </right>
      <top style="mediumDashed">
        <color indexed="64"/>
      </top>
      <bottom/>
      <diagonal/>
    </border>
    <border>
      <left style="thin">
        <color indexed="64"/>
      </left>
      <right style="mediumDashed">
        <color indexed="64"/>
      </right>
      <top/>
      <bottom style="mediumDashed">
        <color indexed="64"/>
      </bottom>
      <diagonal/>
    </border>
    <border>
      <left/>
      <right style="thin">
        <color indexed="64"/>
      </right>
      <top/>
      <bottom style="medium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Dashed">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Dashed">
        <color indexed="64"/>
      </right>
      <top style="dotted">
        <color indexed="64"/>
      </top>
      <bottom/>
      <diagonal/>
    </border>
    <border>
      <left style="mediumDashed">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bottom style="thin">
        <color theme="0" tint="-0.24994659260841701"/>
      </bottom>
      <diagonal/>
    </border>
    <border>
      <left style="mediumDashed">
        <color auto="1"/>
      </left>
      <right/>
      <top style="mediumDashed">
        <color auto="1"/>
      </top>
      <bottom style="mediumDashed">
        <color auto="1"/>
      </bottom>
      <diagonal/>
    </border>
    <border>
      <left/>
      <right style="mediumDashed">
        <color auto="1"/>
      </right>
      <top style="mediumDashed">
        <color auto="1"/>
      </top>
      <bottom style="mediumDashed">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hair">
        <color auto="1"/>
      </bottom>
      <diagonal/>
    </border>
    <border>
      <left style="dotted">
        <color indexed="64"/>
      </left>
      <right/>
      <top style="thin">
        <color indexed="64"/>
      </top>
      <bottom/>
      <diagonal/>
    </border>
    <border>
      <left style="hair">
        <color indexed="64"/>
      </left>
      <right style="hair">
        <color indexed="64"/>
      </right>
      <top/>
      <bottom/>
      <diagonal/>
    </border>
    <border>
      <left style="hair">
        <color indexed="64"/>
      </left>
      <right style="hair">
        <color indexed="64"/>
      </right>
      <top style="hair">
        <color auto="1"/>
      </top>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s>
  <cellStyleXfs count="16">
    <xf numFmtId="167" fontId="0" fillId="0" borderId="0"/>
    <xf numFmtId="167" fontId="23" fillId="0" borderId="0" applyNumberFormat="0" applyFill="0" applyBorder="0" applyAlignment="0" applyProtection="0">
      <alignment vertical="top"/>
      <protection locked="0"/>
    </xf>
    <xf numFmtId="9" fontId="13" fillId="0" borderId="0" applyFont="0" applyFill="0" applyBorder="0" applyAlignment="0" applyProtection="0"/>
    <xf numFmtId="167" fontId="12" fillId="0" borderId="0"/>
    <xf numFmtId="167" fontId="52" fillId="0" borderId="0">
      <alignment vertical="top"/>
    </xf>
    <xf numFmtId="167" fontId="13" fillId="0" borderId="0"/>
    <xf numFmtId="167" fontId="13" fillId="0" borderId="0"/>
    <xf numFmtId="167" fontId="71" fillId="0" borderId="0" applyNumberFormat="0" applyFill="0" applyBorder="0" applyAlignment="0" applyProtection="0">
      <alignment vertical="top"/>
      <protection locked="0"/>
    </xf>
    <xf numFmtId="167" fontId="13" fillId="0" borderId="0"/>
    <xf numFmtId="164" fontId="11" fillId="0" borderId="0" applyFont="0" applyFill="0" applyBorder="0" applyAlignment="0" applyProtection="0"/>
    <xf numFmtId="167" fontId="13" fillId="0" borderId="0"/>
    <xf numFmtId="9" fontId="11" fillId="0" borderId="0" applyFont="0" applyFill="0" applyBorder="0" applyAlignment="0" applyProtection="0"/>
    <xf numFmtId="167" fontId="72" fillId="0" borderId="0"/>
    <xf numFmtId="168" fontId="73" fillId="15" borderId="0" applyNumberFormat="0">
      <alignment horizontal="right"/>
    </xf>
    <xf numFmtId="167" fontId="73" fillId="15" borderId="0">
      <alignment horizontal="left" wrapText="1"/>
    </xf>
    <xf numFmtId="167" fontId="74" fillId="15" borderId="0">
      <alignment horizontal="left" wrapText="1"/>
    </xf>
  </cellStyleXfs>
  <cellXfs count="1865">
    <xf numFmtId="167" fontId="0" fillId="0" borderId="0" xfId="0"/>
    <xf numFmtId="167" fontId="14" fillId="0" borderId="0" xfId="0" applyFont="1" applyAlignment="1">
      <alignment horizontal="left"/>
    </xf>
    <xf numFmtId="167" fontId="17" fillId="0" borderId="0" xfId="0" applyFont="1" applyAlignment="1">
      <alignment horizontal="left"/>
    </xf>
    <xf numFmtId="167" fontId="17" fillId="0" borderId="0" xfId="0" applyFont="1"/>
    <xf numFmtId="167" fontId="0" fillId="0" borderId="0" xfId="0" applyAlignment="1">
      <alignment horizontal="left"/>
    </xf>
    <xf numFmtId="10" fontId="0" fillId="0" borderId="0" xfId="0" applyNumberFormat="1" applyAlignment="1">
      <alignment horizontal="left"/>
    </xf>
    <xf numFmtId="167" fontId="23" fillId="0" borderId="0" xfId="1" applyAlignment="1" applyProtection="1">
      <alignment horizontal="left"/>
    </xf>
    <xf numFmtId="10" fontId="29" fillId="0" borderId="0" xfId="0" applyNumberFormat="1" applyFont="1" applyAlignment="1">
      <alignment horizontal="left"/>
    </xf>
    <xf numFmtId="9" fontId="0" fillId="0" borderId="0" xfId="0" applyNumberFormat="1" applyAlignment="1">
      <alignment horizontal="left"/>
    </xf>
    <xf numFmtId="10" fontId="22" fillId="0" borderId="0" xfId="0" applyNumberFormat="1" applyFont="1" applyAlignment="1">
      <alignment horizontal="left"/>
    </xf>
    <xf numFmtId="167" fontId="0" fillId="0" borderId="0" xfId="0" quotePrefix="1" applyAlignment="1">
      <alignment horizontal="left"/>
    </xf>
    <xf numFmtId="167" fontId="30" fillId="0" borderId="0" xfId="0" applyFont="1" applyAlignment="1">
      <alignment horizontal="left"/>
    </xf>
    <xf numFmtId="167" fontId="31" fillId="0" borderId="0" xfId="0" applyFont="1" applyAlignment="1">
      <alignment horizontal="left"/>
    </xf>
    <xf numFmtId="10" fontId="31" fillId="0" borderId="0" xfId="0" applyNumberFormat="1" applyFont="1" applyAlignment="1">
      <alignment horizontal="left"/>
    </xf>
    <xf numFmtId="10" fontId="0" fillId="0" borderId="0" xfId="2" applyNumberFormat="1" applyFont="1" applyAlignment="1">
      <alignment horizontal="left"/>
    </xf>
    <xf numFmtId="167" fontId="17" fillId="0" borderId="0" xfId="0" applyFont="1" applyAlignment="1">
      <alignment horizontal="right"/>
    </xf>
    <xf numFmtId="10" fontId="14" fillId="0" borderId="0" xfId="0" applyNumberFormat="1" applyFont="1" applyAlignment="1">
      <alignment horizontal="left"/>
    </xf>
    <xf numFmtId="10" fontId="17" fillId="0" borderId="0" xfId="0" applyNumberFormat="1" applyFont="1" applyAlignment="1">
      <alignment horizontal="left"/>
    </xf>
    <xf numFmtId="10" fontId="38" fillId="0" borderId="0" xfId="0" applyNumberFormat="1" applyFont="1" applyAlignment="1">
      <alignment horizontal="left"/>
    </xf>
    <xf numFmtId="166" fontId="17" fillId="0" borderId="0" xfId="0" applyNumberFormat="1" applyFont="1" applyAlignment="1">
      <alignment horizontal="left"/>
    </xf>
    <xf numFmtId="9" fontId="17" fillId="0" borderId="0" xfId="0" applyNumberFormat="1" applyFont="1" applyAlignment="1">
      <alignment horizontal="left"/>
    </xf>
    <xf numFmtId="166" fontId="38" fillId="0" borderId="0" xfId="0" applyNumberFormat="1" applyFont="1" applyAlignment="1">
      <alignment horizontal="left"/>
    </xf>
    <xf numFmtId="10" fontId="39" fillId="0" borderId="0" xfId="0" applyNumberFormat="1" applyFont="1" applyAlignment="1">
      <alignment horizontal="left"/>
    </xf>
    <xf numFmtId="10" fontId="40" fillId="0" borderId="0" xfId="0" applyNumberFormat="1" applyFont="1" applyAlignment="1">
      <alignment horizontal="left"/>
    </xf>
    <xf numFmtId="167" fontId="25" fillId="0" borderId="0" xfId="0" applyFont="1" applyAlignment="1">
      <alignment horizontal="left"/>
    </xf>
    <xf numFmtId="10" fontId="25" fillId="0" borderId="0" xfId="0" applyNumberFormat="1" applyFont="1" applyAlignment="1">
      <alignment horizontal="left"/>
    </xf>
    <xf numFmtId="167" fontId="14" fillId="0" borderId="7" xfId="0" applyFont="1" applyFill="1" applyBorder="1" applyAlignment="1">
      <alignment vertical="top"/>
    </xf>
    <xf numFmtId="167" fontId="34" fillId="0" borderId="10" xfId="0" applyFont="1" applyFill="1" applyBorder="1" applyAlignment="1">
      <alignment horizontal="left" vertical="top"/>
    </xf>
    <xf numFmtId="167" fontId="17" fillId="0" borderId="10" xfId="0" applyFont="1" applyFill="1" applyBorder="1" applyAlignment="1">
      <alignment horizontal="left" vertical="top"/>
    </xf>
    <xf numFmtId="167" fontId="17" fillId="0" borderId="1" xfId="0" applyFont="1" applyFill="1" applyBorder="1" applyAlignment="1">
      <alignment horizontal="left" vertical="top"/>
    </xf>
    <xf numFmtId="167" fontId="14" fillId="0" borderId="7" xfId="0" applyFont="1" applyFill="1" applyBorder="1" applyAlignment="1">
      <alignment horizontal="left" vertical="top"/>
    </xf>
    <xf numFmtId="167" fontId="13" fillId="0" borderId="0" xfId="0" applyFont="1" applyFill="1" applyBorder="1" applyAlignment="1">
      <alignment vertical="top"/>
    </xf>
    <xf numFmtId="10" fontId="13" fillId="0" borderId="4" xfId="0" applyNumberFormat="1" applyFont="1" applyFill="1" applyBorder="1" applyAlignment="1">
      <alignment horizontal="left" vertical="top"/>
    </xf>
    <xf numFmtId="10" fontId="42" fillId="0" borderId="0" xfId="0" applyNumberFormat="1" applyFont="1" applyFill="1" applyBorder="1" applyAlignment="1">
      <alignment horizontal="left" vertical="top"/>
    </xf>
    <xf numFmtId="167" fontId="17" fillId="0" borderId="4" xfId="0" applyFont="1" applyFill="1" applyBorder="1" applyAlignment="1">
      <alignment horizontal="left" vertical="top"/>
    </xf>
    <xf numFmtId="167" fontId="17" fillId="0" borderId="0" xfId="0" applyFont="1" applyFill="1" applyBorder="1" applyAlignment="1">
      <alignment horizontal="left" vertical="top"/>
    </xf>
    <xf numFmtId="167" fontId="34" fillId="0" borderId="0" xfId="0" applyFont="1" applyFill="1" applyBorder="1" applyAlignment="1">
      <alignment horizontal="left" vertical="top"/>
    </xf>
    <xf numFmtId="167" fontId="17" fillId="0" borderId="5" xfId="0" applyFont="1" applyFill="1" applyBorder="1" applyAlignment="1">
      <alignment horizontal="left" vertical="top"/>
    </xf>
    <xf numFmtId="167" fontId="14" fillId="0" borderId="0" xfId="0" applyFont="1" applyFill="1" applyBorder="1" applyAlignment="1">
      <alignment horizontal="left" vertical="top"/>
    </xf>
    <xf numFmtId="167" fontId="14" fillId="0" borderId="0" xfId="0" applyFont="1" applyFill="1" applyBorder="1" applyAlignment="1">
      <alignment vertical="top"/>
    </xf>
    <xf numFmtId="10" fontId="13" fillId="0" borderId="0" xfId="0" applyNumberFormat="1" applyFont="1" applyFill="1" applyBorder="1" applyAlignment="1">
      <alignment horizontal="left" vertical="top"/>
    </xf>
    <xf numFmtId="167" fontId="13" fillId="0" borderId="0" xfId="0" applyFont="1" applyBorder="1" applyAlignment="1">
      <alignment vertical="top"/>
    </xf>
    <xf numFmtId="10" fontId="13" fillId="7" borderId="2" xfId="0" applyNumberFormat="1" applyFont="1" applyFill="1" applyBorder="1" applyAlignment="1">
      <alignment horizontal="left" vertical="top"/>
    </xf>
    <xf numFmtId="10" fontId="35" fillId="0" borderId="4" xfId="2" applyNumberFormat="1" applyFont="1" applyFill="1" applyBorder="1" applyAlignment="1">
      <alignment horizontal="left" vertical="top"/>
    </xf>
    <xf numFmtId="10" fontId="35" fillId="0" borderId="0" xfId="2" applyNumberFormat="1" applyFont="1" applyFill="1" applyBorder="1" applyAlignment="1">
      <alignment horizontal="left" vertical="top"/>
    </xf>
    <xf numFmtId="10" fontId="35" fillId="0" borderId="5" xfId="2" applyNumberFormat="1" applyFont="1" applyFill="1" applyBorder="1" applyAlignment="1">
      <alignment horizontal="left" vertical="top"/>
    </xf>
    <xf numFmtId="10" fontId="13" fillId="7" borderId="2" xfId="2" applyNumberFormat="1" applyFont="1" applyFill="1" applyBorder="1" applyAlignment="1">
      <alignment horizontal="left" vertical="top"/>
    </xf>
    <xf numFmtId="167" fontId="0" fillId="0" borderId="0" xfId="0" applyBorder="1" applyAlignment="1">
      <alignment horizontal="left" vertical="top"/>
    </xf>
    <xf numFmtId="167" fontId="0" fillId="0" borderId="0" xfId="0" applyBorder="1" applyAlignment="1">
      <alignment vertical="top"/>
    </xf>
    <xf numFmtId="167" fontId="13" fillId="0" borderId="0" xfId="0" applyFont="1" applyFill="1" applyBorder="1" applyAlignment="1">
      <alignment horizontal="left" vertical="top"/>
    </xf>
    <xf numFmtId="10" fontId="13" fillId="0" borderId="4" xfId="2" applyNumberFormat="1" applyFont="1" applyFill="1" applyBorder="1" applyAlignment="1">
      <alignment horizontal="left" vertical="top"/>
    </xf>
    <xf numFmtId="167" fontId="0" fillId="0" borderId="0" xfId="0" applyFill="1" applyBorder="1" applyAlignment="1">
      <alignment horizontal="left" vertical="top"/>
    </xf>
    <xf numFmtId="167" fontId="0" fillId="0" borderId="0" xfId="0" applyFill="1" applyBorder="1" applyAlignment="1">
      <alignment vertical="top"/>
    </xf>
    <xf numFmtId="166" fontId="13" fillId="0" borderId="4" xfId="0" applyNumberFormat="1" applyFont="1" applyFill="1" applyBorder="1" applyAlignment="1">
      <alignment horizontal="left" vertical="top"/>
    </xf>
    <xf numFmtId="166" fontId="13" fillId="0" borderId="0" xfId="0" applyNumberFormat="1" applyFont="1" applyFill="1" applyBorder="1" applyAlignment="1">
      <alignment horizontal="left" vertical="top"/>
    </xf>
    <xf numFmtId="166" fontId="13" fillId="0" borderId="5" xfId="0" applyNumberFormat="1" applyFont="1" applyFill="1" applyBorder="1" applyAlignment="1">
      <alignment horizontal="left" vertical="top"/>
    </xf>
    <xf numFmtId="166" fontId="14" fillId="0" borderId="4" xfId="0" applyNumberFormat="1" applyFont="1" applyFill="1" applyBorder="1" applyAlignment="1">
      <alignment horizontal="left" vertical="top"/>
    </xf>
    <xf numFmtId="10" fontId="42" fillId="0" borderId="0" xfId="2" applyNumberFormat="1" applyFont="1" applyFill="1" applyBorder="1" applyAlignment="1">
      <alignment horizontal="left" vertical="top"/>
    </xf>
    <xf numFmtId="166" fontId="13" fillId="3" borderId="2" xfId="0" applyNumberFormat="1" applyFont="1" applyFill="1" applyBorder="1" applyAlignment="1">
      <alignment horizontal="left" vertical="top"/>
    </xf>
    <xf numFmtId="10" fontId="13" fillId="3" borderId="2" xfId="2" applyNumberFormat="1" applyFont="1" applyFill="1" applyBorder="1" applyAlignment="1">
      <alignment horizontal="left" vertical="top"/>
    </xf>
    <xf numFmtId="167" fontId="25" fillId="0" borderId="0" xfId="0" applyFont="1" applyFill="1" applyBorder="1" applyAlignment="1">
      <alignment vertical="top"/>
    </xf>
    <xf numFmtId="167" fontId="25" fillId="0" borderId="0" xfId="0" applyFont="1" applyFill="1" applyBorder="1" applyAlignment="1">
      <alignment horizontal="left" vertical="top"/>
    </xf>
    <xf numFmtId="10" fontId="13" fillId="0" borderId="2" xfId="0" applyNumberFormat="1" applyFont="1" applyFill="1" applyBorder="1" applyAlignment="1">
      <alignment horizontal="left" vertical="top"/>
    </xf>
    <xf numFmtId="10" fontId="35" fillId="0" borderId="0" xfId="0" applyNumberFormat="1" applyFont="1" applyFill="1" applyBorder="1" applyAlignment="1">
      <alignment horizontal="left" vertical="top"/>
    </xf>
    <xf numFmtId="10" fontId="35" fillId="0" borderId="4" xfId="0" applyNumberFormat="1" applyFont="1" applyFill="1" applyBorder="1" applyAlignment="1">
      <alignment horizontal="left" vertical="top"/>
    </xf>
    <xf numFmtId="10" fontId="35" fillId="0" borderId="5" xfId="0" applyNumberFormat="1" applyFont="1" applyFill="1" applyBorder="1" applyAlignment="1">
      <alignment horizontal="left" vertical="top"/>
    </xf>
    <xf numFmtId="167" fontId="13" fillId="0" borderId="4" xfId="0" applyFont="1" applyFill="1" applyBorder="1" applyAlignment="1">
      <alignment horizontal="left" vertical="top"/>
    </xf>
    <xf numFmtId="167" fontId="42" fillId="0" borderId="0" xfId="0" applyFont="1" applyFill="1" applyBorder="1" applyAlignment="1">
      <alignment horizontal="left" vertical="top"/>
    </xf>
    <xf numFmtId="167" fontId="17" fillId="0" borderId="4" xfId="0" applyFont="1" applyBorder="1" applyAlignment="1">
      <alignment horizontal="left" vertical="top"/>
    </xf>
    <xf numFmtId="167" fontId="17" fillId="0" borderId="0" xfId="0" applyFont="1" applyBorder="1" applyAlignment="1">
      <alignment horizontal="left" vertical="top"/>
    </xf>
    <xf numFmtId="167" fontId="17" fillId="0" borderId="5" xfId="0" applyFont="1" applyBorder="1" applyAlignment="1">
      <alignment horizontal="left" vertical="top"/>
    </xf>
    <xf numFmtId="167" fontId="0" fillId="0" borderId="4" xfId="0" applyBorder="1" applyAlignment="1">
      <alignment horizontal="left" vertical="top"/>
    </xf>
    <xf numFmtId="167" fontId="14" fillId="2" borderId="9" xfId="0" applyFont="1" applyFill="1" applyBorder="1" applyAlignment="1">
      <alignment horizontal="left" vertical="top"/>
    </xf>
    <xf numFmtId="167" fontId="13" fillId="0" borderId="0" xfId="0" applyFont="1" applyBorder="1" applyAlignment="1">
      <alignment horizontal="left" vertical="top"/>
    </xf>
    <xf numFmtId="167" fontId="13" fillId="0" borderId="3" xfId="0" applyFont="1" applyFill="1" applyBorder="1" applyAlignment="1">
      <alignment horizontal="left" vertical="top"/>
    </xf>
    <xf numFmtId="167" fontId="26" fillId="0" borderId="0" xfId="0" applyFont="1" applyFill="1" applyBorder="1" applyAlignment="1">
      <alignment vertical="top"/>
    </xf>
    <xf numFmtId="9" fontId="13" fillId="8" borderId="2" xfId="0" applyNumberFormat="1" applyFont="1" applyFill="1" applyBorder="1" applyAlignment="1">
      <alignment horizontal="left" vertical="top"/>
    </xf>
    <xf numFmtId="9" fontId="13" fillId="3" borderId="2" xfId="0" applyNumberFormat="1" applyFont="1" applyFill="1" applyBorder="1" applyAlignment="1">
      <alignment horizontal="left" vertical="top"/>
    </xf>
    <xf numFmtId="9" fontId="13" fillId="7" borderId="2" xfId="0" applyNumberFormat="1" applyFont="1" applyFill="1" applyBorder="1" applyAlignment="1">
      <alignment horizontal="left" vertical="top"/>
    </xf>
    <xf numFmtId="9" fontId="13" fillId="0" borderId="0" xfId="0" applyNumberFormat="1" applyFont="1" applyFill="1" applyBorder="1" applyAlignment="1">
      <alignment horizontal="left" vertical="top"/>
    </xf>
    <xf numFmtId="9" fontId="17" fillId="0" borderId="4" xfId="0" applyNumberFormat="1" applyFont="1" applyFill="1" applyBorder="1" applyAlignment="1">
      <alignment horizontal="left" vertical="top"/>
    </xf>
    <xf numFmtId="166" fontId="13" fillId="7" borderId="2" xfId="0" applyNumberFormat="1" applyFont="1" applyFill="1" applyBorder="1" applyAlignment="1">
      <alignment horizontal="left" vertical="top"/>
    </xf>
    <xf numFmtId="10" fontId="13" fillId="0" borderId="0" xfId="2" applyNumberFormat="1" applyFont="1" applyFill="1" applyBorder="1" applyAlignment="1">
      <alignment horizontal="left" vertical="top"/>
    </xf>
    <xf numFmtId="10" fontId="13" fillId="0" borderId="5" xfId="2" applyNumberFormat="1" applyFont="1" applyFill="1" applyBorder="1" applyAlignment="1">
      <alignment horizontal="left" vertical="top"/>
    </xf>
    <xf numFmtId="167" fontId="17" fillId="0" borderId="0" xfId="0" applyFont="1" applyBorder="1" applyAlignment="1">
      <alignment vertical="top"/>
    </xf>
    <xf numFmtId="2" fontId="13" fillId="8" borderId="2" xfId="0" applyNumberFormat="1" applyFont="1" applyFill="1" applyBorder="1" applyAlignment="1">
      <alignment horizontal="left" vertical="top"/>
    </xf>
    <xf numFmtId="2" fontId="13" fillId="3" borderId="2" xfId="0" applyNumberFormat="1" applyFont="1" applyFill="1" applyBorder="1" applyAlignment="1">
      <alignment horizontal="left" vertical="top"/>
    </xf>
    <xf numFmtId="2" fontId="13" fillId="0" borderId="0" xfId="0" applyNumberFormat="1" applyFont="1" applyFill="1" applyBorder="1" applyAlignment="1">
      <alignment horizontal="left" vertical="top"/>
    </xf>
    <xf numFmtId="2" fontId="13" fillId="7" borderId="2" xfId="0" applyNumberFormat="1" applyFont="1" applyFill="1" applyBorder="1" applyAlignment="1">
      <alignment horizontal="left" vertical="top"/>
    </xf>
    <xf numFmtId="2" fontId="13" fillId="0" borderId="4" xfId="0" applyNumberFormat="1" applyFont="1" applyFill="1" applyBorder="1" applyAlignment="1">
      <alignment horizontal="left" vertical="top"/>
    </xf>
    <xf numFmtId="2" fontId="42" fillId="0" borderId="0" xfId="0" applyNumberFormat="1" applyFont="1" applyFill="1" applyBorder="1" applyAlignment="1">
      <alignment horizontal="left" vertical="top"/>
    </xf>
    <xf numFmtId="2" fontId="42" fillId="0" borderId="5" xfId="0" applyNumberFormat="1" applyFont="1" applyFill="1" applyBorder="1" applyAlignment="1">
      <alignment horizontal="left" vertical="top"/>
    </xf>
    <xf numFmtId="167" fontId="15" fillId="0" borderId="0" xfId="0" applyFont="1" applyBorder="1" applyAlignment="1">
      <alignment vertical="top"/>
    </xf>
    <xf numFmtId="167" fontId="15" fillId="0" borderId="0" xfId="0" applyFont="1" applyBorder="1" applyAlignment="1">
      <alignment horizontal="left" vertical="top"/>
    </xf>
    <xf numFmtId="10" fontId="42" fillId="0" borderId="0" xfId="2" quotePrefix="1" applyNumberFormat="1" applyFont="1" applyFill="1" applyBorder="1" applyAlignment="1">
      <alignment horizontal="left" vertical="top"/>
    </xf>
    <xf numFmtId="167" fontId="13" fillId="0" borderId="0" xfId="0" quotePrefix="1" applyFont="1" applyFill="1" applyBorder="1" applyAlignment="1">
      <alignment horizontal="left" vertical="top"/>
    </xf>
    <xf numFmtId="167" fontId="13" fillId="0" borderId="4" xfId="0" quotePrefix="1" applyFont="1" applyFill="1" applyBorder="1" applyAlignment="1">
      <alignment horizontal="left" vertical="top"/>
    </xf>
    <xf numFmtId="167" fontId="42" fillId="0" borderId="0" xfId="0" quotePrefix="1" applyFont="1" applyFill="1" applyBorder="1" applyAlignment="1">
      <alignment horizontal="left" vertical="top"/>
    </xf>
    <xf numFmtId="167" fontId="42" fillId="0" borderId="5" xfId="0" quotePrefix="1" applyFont="1" applyFill="1" applyBorder="1" applyAlignment="1">
      <alignment horizontal="left" vertical="top"/>
    </xf>
    <xf numFmtId="10" fontId="13" fillId="0" borderId="4" xfId="2" quotePrefix="1" applyNumberFormat="1" applyFont="1" applyFill="1" applyBorder="1" applyAlignment="1">
      <alignment horizontal="left" vertical="top"/>
    </xf>
    <xf numFmtId="10" fontId="13" fillId="0" borderId="0" xfId="2" quotePrefix="1" applyNumberFormat="1" applyFont="1" applyFill="1" applyBorder="1" applyAlignment="1">
      <alignment horizontal="left" vertical="top"/>
    </xf>
    <xf numFmtId="10" fontId="42" fillId="0" borderId="5" xfId="2" quotePrefix="1" applyNumberFormat="1" applyFont="1" applyFill="1" applyBorder="1" applyAlignment="1">
      <alignment horizontal="left" vertical="top"/>
    </xf>
    <xf numFmtId="167" fontId="18" fillId="0" borderId="0" xfId="0" applyFont="1" applyBorder="1" applyAlignment="1">
      <alignment vertical="top"/>
    </xf>
    <xf numFmtId="167" fontId="18" fillId="0" borderId="0" xfId="0" applyFont="1" applyBorder="1" applyAlignment="1">
      <alignment horizontal="left" vertical="top"/>
    </xf>
    <xf numFmtId="167" fontId="27" fillId="0" borderId="0" xfId="0" applyNumberFormat="1" applyFont="1" applyBorder="1" applyAlignment="1">
      <alignment horizontal="left" vertical="top"/>
    </xf>
    <xf numFmtId="167" fontId="27" fillId="0" borderId="0" xfId="0" applyNumberFormat="1" applyFont="1" applyFill="1" applyBorder="1" applyAlignment="1">
      <alignment horizontal="left" vertical="top"/>
    </xf>
    <xf numFmtId="2" fontId="33" fillId="0" borderId="0" xfId="0" applyNumberFormat="1" applyFont="1" applyFill="1" applyBorder="1" applyAlignment="1">
      <alignment horizontal="left" vertical="top"/>
    </xf>
    <xf numFmtId="167" fontId="14" fillId="0" borderId="0" xfId="0" applyFont="1" applyBorder="1" applyAlignment="1">
      <alignment vertical="top"/>
    </xf>
    <xf numFmtId="10" fontId="27" fillId="0" borderId="0" xfId="0" applyNumberFormat="1" applyFont="1" applyFill="1" applyBorder="1" applyAlignment="1">
      <alignment horizontal="left" vertical="top"/>
    </xf>
    <xf numFmtId="10" fontId="43" fillId="0" borderId="0" xfId="2" quotePrefix="1" applyNumberFormat="1" applyFont="1" applyFill="1" applyBorder="1" applyAlignment="1">
      <alignment horizontal="left" vertical="top"/>
    </xf>
    <xf numFmtId="167" fontId="27" fillId="0" borderId="0" xfId="0" applyFont="1" applyFill="1" applyBorder="1" applyAlignment="1">
      <alignment horizontal="left" vertical="top"/>
    </xf>
    <xf numFmtId="167" fontId="27" fillId="0" borderId="0" xfId="0" applyFont="1" applyBorder="1" applyAlignment="1">
      <alignment vertical="top"/>
    </xf>
    <xf numFmtId="11" fontId="27" fillId="0" borderId="0" xfId="0" applyNumberFormat="1" applyFont="1" applyBorder="1" applyAlignment="1">
      <alignment horizontal="left" vertical="top"/>
    </xf>
    <xf numFmtId="11" fontId="27" fillId="0" borderId="0" xfId="0" applyNumberFormat="1" applyFont="1" applyFill="1" applyBorder="1" applyAlignment="1">
      <alignment horizontal="left" vertical="top"/>
    </xf>
    <xf numFmtId="2" fontId="13" fillId="0" borderId="0" xfId="0" quotePrefix="1" applyNumberFormat="1" applyFont="1" applyFill="1" applyBorder="1" applyAlignment="1">
      <alignment horizontal="left" vertical="top"/>
    </xf>
    <xf numFmtId="1" fontId="45" fillId="0" borderId="9" xfId="0" applyNumberFormat="1" applyFont="1" applyFill="1" applyBorder="1" applyAlignment="1">
      <alignment horizontal="left" vertical="top"/>
    </xf>
    <xf numFmtId="1" fontId="44" fillId="0" borderId="10" xfId="0" applyNumberFormat="1" applyFont="1" applyFill="1" applyBorder="1" applyAlignment="1">
      <alignment horizontal="left" vertical="top"/>
    </xf>
    <xf numFmtId="1" fontId="45" fillId="0" borderId="10" xfId="0" applyNumberFormat="1" applyFont="1" applyFill="1" applyBorder="1" applyAlignment="1">
      <alignment horizontal="left" vertical="top"/>
    </xf>
    <xf numFmtId="1" fontId="13" fillId="0" borderId="10" xfId="0" applyNumberFormat="1" applyFont="1" applyFill="1" applyBorder="1" applyAlignment="1">
      <alignment horizontal="left" vertical="top"/>
    </xf>
    <xf numFmtId="165" fontId="36" fillId="0" borderId="0" xfId="0" applyNumberFormat="1" applyFont="1" applyFill="1" applyBorder="1" applyAlignment="1">
      <alignment horizontal="left" vertical="top"/>
    </xf>
    <xf numFmtId="9" fontId="36" fillId="0" borderId="0" xfId="2" applyFont="1" applyFill="1" applyBorder="1" applyAlignment="1">
      <alignment horizontal="left" vertical="top"/>
    </xf>
    <xf numFmtId="167" fontId="36" fillId="0" borderId="0" xfId="0" applyFont="1" applyBorder="1" applyAlignment="1">
      <alignment horizontal="left" vertical="top"/>
    </xf>
    <xf numFmtId="167" fontId="13" fillId="0" borderId="0" xfId="0" applyNumberFormat="1" applyFont="1" applyFill="1" applyBorder="1" applyAlignment="1">
      <alignment horizontal="left" vertical="top"/>
    </xf>
    <xf numFmtId="1" fontId="47" fillId="0" borderId="0" xfId="0" applyNumberFormat="1" applyFont="1" applyBorder="1" applyAlignment="1">
      <alignment horizontal="left" vertical="top"/>
    </xf>
    <xf numFmtId="2" fontId="46" fillId="0" borderId="0" xfId="0" applyNumberFormat="1" applyFont="1" applyFill="1" applyBorder="1" applyAlignment="1">
      <alignment horizontal="left" vertical="top"/>
    </xf>
    <xf numFmtId="2" fontId="46" fillId="0" borderId="7" xfId="0" applyNumberFormat="1" applyFont="1" applyFill="1" applyBorder="1" applyAlignment="1">
      <alignment horizontal="left" vertical="top"/>
    </xf>
    <xf numFmtId="167" fontId="13" fillId="0" borderId="0" xfId="0" applyFont="1" applyFill="1" applyBorder="1" applyAlignment="1">
      <alignment horizontal="right" vertical="top"/>
    </xf>
    <xf numFmtId="10" fontId="13" fillId="3" borderId="2" xfId="0" applyNumberFormat="1" applyFont="1" applyFill="1" applyBorder="1" applyAlignment="1">
      <alignment horizontal="left" vertical="top"/>
    </xf>
    <xf numFmtId="10" fontId="42" fillId="0" borderId="14" xfId="2" applyNumberFormat="1" applyFont="1" applyFill="1" applyBorder="1" applyAlignment="1">
      <alignment horizontal="left" vertical="top"/>
    </xf>
    <xf numFmtId="10" fontId="42" fillId="0" borderId="5" xfId="2" applyNumberFormat="1" applyFont="1" applyFill="1" applyBorder="1" applyAlignment="1">
      <alignment horizontal="left" vertical="top"/>
    </xf>
    <xf numFmtId="167" fontId="13" fillId="0" borderId="10" xfId="0" applyFont="1" applyFill="1" applyBorder="1" applyAlignment="1">
      <alignment horizontal="left" vertical="top"/>
    </xf>
    <xf numFmtId="2" fontId="45" fillId="0" borderId="9" xfId="0" applyNumberFormat="1" applyFont="1" applyFill="1" applyBorder="1" applyAlignment="1">
      <alignment horizontal="left" vertical="top"/>
    </xf>
    <xf numFmtId="2" fontId="44" fillId="0" borderId="10" xfId="0" applyNumberFormat="1" applyFont="1" applyFill="1" applyBorder="1" applyAlignment="1">
      <alignment horizontal="left" vertical="top"/>
    </xf>
    <xf numFmtId="2" fontId="45" fillId="0" borderId="10" xfId="0" applyNumberFormat="1" applyFont="1" applyFill="1" applyBorder="1" applyAlignment="1">
      <alignment horizontal="left" vertical="top"/>
    </xf>
    <xf numFmtId="1" fontId="47" fillId="0" borderId="0" xfId="0" applyNumberFormat="1" applyFont="1" applyFill="1" applyBorder="1" applyAlignment="1">
      <alignment horizontal="left" vertical="top"/>
    </xf>
    <xf numFmtId="2" fontId="45" fillId="0" borderId="13" xfId="0" applyNumberFormat="1" applyFont="1" applyFill="1" applyBorder="1" applyAlignment="1">
      <alignment horizontal="left" vertical="top"/>
    </xf>
    <xf numFmtId="2" fontId="44" fillId="0" borderId="12" xfId="0" applyNumberFormat="1" applyFont="1" applyFill="1" applyBorder="1" applyAlignment="1">
      <alignment horizontal="left" vertical="top"/>
    </xf>
    <xf numFmtId="2" fontId="45" fillId="0" borderId="12" xfId="0" applyNumberFormat="1" applyFont="1" applyFill="1" applyBorder="1" applyAlignment="1">
      <alignment horizontal="left" vertical="top"/>
    </xf>
    <xf numFmtId="2" fontId="44" fillId="0" borderId="4" xfId="0" applyNumberFormat="1" applyFont="1" applyFill="1" applyBorder="1" applyAlignment="1">
      <alignment horizontal="left" vertical="top"/>
    </xf>
    <xf numFmtId="2" fontId="44" fillId="0" borderId="0" xfId="0" applyNumberFormat="1" applyFont="1" applyFill="1" applyBorder="1" applyAlignment="1">
      <alignment horizontal="left" vertical="top"/>
    </xf>
    <xf numFmtId="2" fontId="45" fillId="0" borderId="4" xfId="0" applyNumberFormat="1" applyFont="1" applyFill="1" applyBorder="1" applyAlignment="1">
      <alignment horizontal="left" vertical="top"/>
    </xf>
    <xf numFmtId="2" fontId="45" fillId="0" borderId="0" xfId="0" applyNumberFormat="1" applyFont="1" applyFill="1" applyBorder="1" applyAlignment="1">
      <alignment horizontal="left" vertical="top"/>
    </xf>
    <xf numFmtId="2" fontId="46" fillId="0" borderId="4" xfId="0" applyNumberFormat="1" applyFont="1" applyFill="1" applyBorder="1" applyAlignment="1">
      <alignment horizontal="left" vertical="top"/>
    </xf>
    <xf numFmtId="2" fontId="46" fillId="0" borderId="6" xfId="0" applyNumberFormat="1" applyFont="1" applyFill="1" applyBorder="1" applyAlignment="1">
      <alignment horizontal="left" vertical="top"/>
    </xf>
    <xf numFmtId="2" fontId="44" fillId="0" borderId="7" xfId="0" applyNumberFormat="1" applyFont="1" applyFill="1" applyBorder="1" applyAlignment="1">
      <alignment horizontal="left" vertical="top"/>
    </xf>
    <xf numFmtId="1" fontId="45" fillId="0" borderId="19" xfId="0" applyNumberFormat="1" applyFont="1" applyFill="1" applyBorder="1" applyAlignment="1">
      <alignment horizontal="left" vertical="top"/>
    </xf>
    <xf numFmtId="2" fontId="45" fillId="0" borderId="19" xfId="0" applyNumberFormat="1" applyFont="1" applyFill="1" applyBorder="1" applyAlignment="1">
      <alignment horizontal="left" vertical="top"/>
    </xf>
    <xf numFmtId="2" fontId="45" fillId="0" borderId="23" xfId="0" applyNumberFormat="1" applyFont="1" applyFill="1" applyBorder="1" applyAlignment="1">
      <alignment horizontal="left" vertical="top"/>
    </xf>
    <xf numFmtId="2" fontId="44" fillId="0" borderId="21" xfId="0" applyNumberFormat="1" applyFont="1" applyFill="1" applyBorder="1" applyAlignment="1">
      <alignment horizontal="left" vertical="top"/>
    </xf>
    <xf numFmtId="2" fontId="45" fillId="0" borderId="21" xfId="0" applyNumberFormat="1" applyFont="1" applyFill="1" applyBorder="1" applyAlignment="1">
      <alignment horizontal="left" vertical="top"/>
    </xf>
    <xf numFmtId="2" fontId="45" fillId="0" borderId="24" xfId="0" applyNumberFormat="1" applyFont="1" applyFill="1" applyBorder="1" applyAlignment="1">
      <alignment horizontal="left" vertical="top"/>
    </xf>
    <xf numFmtId="2" fontId="13" fillId="0" borderId="28" xfId="0" applyNumberFormat="1" applyFont="1" applyFill="1" applyBorder="1" applyAlignment="1">
      <alignment horizontal="left" vertical="top"/>
    </xf>
    <xf numFmtId="167" fontId="14" fillId="0" borderId="0" xfId="0" applyNumberFormat="1" applyFont="1" applyFill="1" applyBorder="1" applyAlignment="1">
      <alignment horizontal="left"/>
    </xf>
    <xf numFmtId="167" fontId="13" fillId="0" borderId="0" xfId="0" applyNumberFormat="1" applyFont="1" applyFill="1" applyBorder="1" applyAlignment="1">
      <alignment horizontal="left"/>
    </xf>
    <xf numFmtId="167" fontId="13" fillId="0" borderId="0" xfId="0" applyFont="1" applyFill="1" applyBorder="1" applyAlignment="1">
      <alignment horizontal="left" vertical="top"/>
    </xf>
    <xf numFmtId="2" fontId="13" fillId="0" borderId="0" xfId="0" applyNumberFormat="1" applyFont="1" applyFill="1" applyBorder="1" applyAlignment="1">
      <alignment horizontal="left" vertical="top"/>
    </xf>
    <xf numFmtId="10" fontId="13" fillId="0" borderId="2" xfId="2" applyNumberFormat="1" applyFont="1" applyFill="1" applyBorder="1" applyAlignment="1">
      <alignment horizontal="left" vertical="top"/>
    </xf>
    <xf numFmtId="2" fontId="42" fillId="0" borderId="12" xfId="0" applyNumberFormat="1" applyFont="1" applyFill="1" applyBorder="1" applyAlignment="1">
      <alignment horizontal="left" vertical="top"/>
    </xf>
    <xf numFmtId="2" fontId="42" fillId="0" borderId="14" xfId="0" applyNumberFormat="1" applyFont="1" applyFill="1" applyBorder="1" applyAlignment="1">
      <alignment horizontal="left" vertical="top"/>
    </xf>
    <xf numFmtId="167" fontId="14" fillId="9" borderId="0" xfId="0" applyFont="1" applyFill="1" applyBorder="1" applyAlignment="1">
      <alignment vertical="top"/>
    </xf>
    <xf numFmtId="167" fontId="0" fillId="9" borderId="0" xfId="0" applyFill="1" applyBorder="1" applyAlignment="1">
      <alignment vertical="top"/>
    </xf>
    <xf numFmtId="167" fontId="42" fillId="9" borderId="0" xfId="0" applyFont="1" applyFill="1" applyBorder="1" applyAlignment="1">
      <alignment horizontal="left" vertical="top"/>
    </xf>
    <xf numFmtId="167" fontId="13" fillId="0" borderId="13" xfId="0" applyFont="1" applyFill="1" applyBorder="1" applyAlignment="1">
      <alignment horizontal="left" vertical="top"/>
    </xf>
    <xf numFmtId="2" fontId="42" fillId="0" borderId="7" xfId="0" applyNumberFormat="1" applyFont="1" applyFill="1" applyBorder="1" applyAlignment="1">
      <alignment horizontal="left" vertical="top"/>
    </xf>
    <xf numFmtId="2" fontId="42" fillId="0" borderId="8" xfId="0" applyNumberFormat="1" applyFont="1" applyFill="1" applyBorder="1" applyAlignment="1">
      <alignment horizontal="left" vertical="top"/>
    </xf>
    <xf numFmtId="167" fontId="13" fillId="0" borderId="11" xfId="0" applyFont="1" applyFill="1" applyBorder="1" applyAlignment="1">
      <alignment horizontal="left" vertical="top"/>
    </xf>
    <xf numFmtId="167" fontId="13" fillId="0" borderId="14" xfId="0" applyFont="1" applyFill="1" applyBorder="1" applyAlignment="1">
      <alignment horizontal="left" vertical="top"/>
    </xf>
    <xf numFmtId="167" fontId="50" fillId="0" borderId="6" xfId="0" applyFont="1" applyFill="1" applyBorder="1" applyAlignment="1">
      <alignment horizontal="left" vertical="top"/>
    </xf>
    <xf numFmtId="2" fontId="13" fillId="0" borderId="33" xfId="0" applyNumberFormat="1" applyFont="1" applyFill="1" applyBorder="1" applyAlignment="1">
      <alignment horizontal="left" vertical="top"/>
    </xf>
    <xf numFmtId="2" fontId="42" fillId="0" borderId="16" xfId="0" applyNumberFormat="1" applyFont="1" applyFill="1" applyBorder="1" applyAlignment="1">
      <alignment horizontal="left" vertical="top"/>
    </xf>
    <xf numFmtId="2" fontId="42" fillId="0" borderId="34" xfId="0" applyNumberFormat="1" applyFont="1" applyFill="1" applyBorder="1" applyAlignment="1">
      <alignment horizontal="left" vertical="top"/>
    </xf>
    <xf numFmtId="2" fontId="13" fillId="0" borderId="35" xfId="0" applyNumberFormat="1" applyFont="1" applyFill="1" applyBorder="1" applyAlignment="1">
      <alignment horizontal="left" vertical="top"/>
    </xf>
    <xf numFmtId="2" fontId="13" fillId="0" borderId="36" xfId="0" applyNumberFormat="1" applyFont="1" applyFill="1" applyBorder="1" applyAlignment="1">
      <alignment horizontal="left" vertical="top"/>
    </xf>
    <xf numFmtId="2" fontId="13" fillId="0" borderId="39" xfId="0" applyNumberFormat="1" applyFont="1" applyFill="1" applyBorder="1" applyAlignment="1">
      <alignment horizontal="left" vertical="top"/>
    </xf>
    <xf numFmtId="9" fontId="13" fillId="0" borderId="33" xfId="2" applyFont="1" applyFill="1" applyBorder="1" applyAlignment="1">
      <alignment horizontal="left" vertical="top"/>
    </xf>
    <xf numFmtId="9" fontId="13" fillId="0" borderId="35" xfId="2" applyFont="1" applyFill="1" applyBorder="1" applyAlignment="1">
      <alignment horizontal="left" vertical="top"/>
    </xf>
    <xf numFmtId="2" fontId="42" fillId="9" borderId="0" xfId="0" applyNumberFormat="1" applyFont="1" applyFill="1" applyBorder="1" applyAlignment="1">
      <alignment horizontal="left" vertical="top"/>
    </xf>
    <xf numFmtId="167" fontId="13" fillId="9" borderId="13" xfId="0" applyFont="1" applyFill="1" applyBorder="1" applyAlignment="1">
      <alignment horizontal="left" vertical="top"/>
    </xf>
    <xf numFmtId="167" fontId="13" fillId="9" borderId="0" xfId="0" applyFont="1" applyFill="1" applyBorder="1" applyAlignment="1">
      <alignment horizontal="left" vertical="top"/>
    </xf>
    <xf numFmtId="2" fontId="13" fillId="9" borderId="4" xfId="0" applyNumberFormat="1" applyFont="1" applyFill="1" applyBorder="1" applyAlignment="1">
      <alignment horizontal="left" vertical="top"/>
    </xf>
    <xf numFmtId="2" fontId="13" fillId="9" borderId="0" xfId="0" applyNumberFormat="1" applyFont="1" applyFill="1" applyBorder="1" applyAlignment="1">
      <alignment horizontal="left" vertical="top"/>
    </xf>
    <xf numFmtId="167" fontId="0" fillId="9" borderId="19" xfId="0" applyFill="1" applyBorder="1" applyAlignment="1">
      <alignment vertical="top"/>
    </xf>
    <xf numFmtId="167" fontId="0" fillId="9" borderId="21" xfId="0" applyFill="1" applyBorder="1" applyAlignment="1">
      <alignment vertical="top"/>
    </xf>
    <xf numFmtId="167" fontId="0" fillId="9" borderId="23" xfId="0" applyFill="1" applyBorder="1" applyAlignment="1">
      <alignment vertical="top"/>
    </xf>
    <xf numFmtId="2" fontId="13" fillId="9" borderId="31" xfId="0" applyNumberFormat="1" applyFont="1" applyFill="1" applyBorder="1" applyAlignment="1">
      <alignment horizontal="left" vertical="top"/>
    </xf>
    <xf numFmtId="2" fontId="38" fillId="9" borderId="41" xfId="0" applyNumberFormat="1" applyFont="1" applyFill="1" applyBorder="1" applyAlignment="1">
      <alignment horizontal="left" vertical="top"/>
    </xf>
    <xf numFmtId="2" fontId="13" fillId="9" borderId="41" xfId="0" applyNumberFormat="1" applyFont="1" applyFill="1" applyBorder="1" applyAlignment="1">
      <alignment horizontal="left" vertical="top"/>
    </xf>
    <xf numFmtId="2" fontId="46" fillId="9" borderId="41" xfId="0" applyNumberFormat="1" applyFont="1" applyFill="1" applyBorder="1" applyAlignment="1">
      <alignment horizontal="left" vertical="top"/>
    </xf>
    <xf numFmtId="2" fontId="46" fillId="9" borderId="32" xfId="0" applyNumberFormat="1" applyFont="1" applyFill="1" applyBorder="1" applyAlignment="1">
      <alignment horizontal="left" vertical="top"/>
    </xf>
    <xf numFmtId="167" fontId="13" fillId="9" borderId="4" xfId="0" applyFont="1" applyFill="1" applyBorder="1" applyAlignment="1">
      <alignment horizontal="left" vertical="top"/>
    </xf>
    <xf numFmtId="167" fontId="13" fillId="9" borderId="9" xfId="0" applyFont="1" applyFill="1" applyBorder="1" applyAlignment="1">
      <alignment horizontal="left" vertical="top"/>
    </xf>
    <xf numFmtId="167" fontId="13" fillId="9" borderId="10" xfId="0" applyFont="1" applyFill="1" applyBorder="1" applyAlignment="1">
      <alignment horizontal="left" vertical="top"/>
    </xf>
    <xf numFmtId="167" fontId="13" fillId="9" borderId="0" xfId="0" applyFont="1" applyFill="1" applyBorder="1" applyAlignment="1">
      <alignment horizontal="right" vertical="top"/>
    </xf>
    <xf numFmtId="167" fontId="50" fillId="9" borderId="6" xfId="0" applyFont="1" applyFill="1" applyBorder="1" applyAlignment="1">
      <alignment horizontal="left" vertical="top"/>
    </xf>
    <xf numFmtId="167" fontId="13" fillId="9" borderId="10" xfId="0" applyFont="1" applyFill="1" applyBorder="1" applyAlignment="1">
      <alignment horizontal="right" vertical="top"/>
    </xf>
    <xf numFmtId="10" fontId="13" fillId="8" borderId="2" xfId="2" applyNumberFormat="1" applyFont="1" applyFill="1" applyBorder="1" applyAlignment="1">
      <alignment horizontal="left" vertical="top"/>
    </xf>
    <xf numFmtId="167" fontId="47" fillId="0" borderId="0" xfId="0" applyFont="1" applyFill="1" applyBorder="1" applyAlignment="1">
      <alignment horizontal="left" vertical="top"/>
    </xf>
    <xf numFmtId="167" fontId="47" fillId="0" borderId="0" xfId="0" applyFont="1" applyBorder="1" applyAlignment="1">
      <alignment horizontal="left" vertical="top"/>
    </xf>
    <xf numFmtId="11" fontId="47" fillId="0" borderId="0" xfId="0" applyNumberFormat="1" applyFont="1" applyBorder="1" applyAlignment="1">
      <alignment horizontal="left" vertical="top"/>
    </xf>
    <xf numFmtId="11" fontId="47" fillId="0" borderId="0" xfId="0" applyNumberFormat="1" applyFont="1" applyFill="1" applyBorder="1" applyAlignment="1">
      <alignment horizontal="left" vertical="top"/>
    </xf>
    <xf numFmtId="9" fontId="47" fillId="0" borderId="0" xfId="2" applyFont="1" applyBorder="1" applyAlignment="1">
      <alignment horizontal="left" vertical="top"/>
    </xf>
    <xf numFmtId="167" fontId="47" fillId="0" borderId="0" xfId="0" applyFont="1" applyBorder="1" applyAlignment="1">
      <alignment vertical="top"/>
    </xf>
    <xf numFmtId="9" fontId="47" fillId="0" borderId="0" xfId="2" applyFont="1" applyFill="1" applyBorder="1" applyAlignment="1">
      <alignment horizontal="left" vertical="top"/>
    </xf>
    <xf numFmtId="167" fontId="51" fillId="0" borderId="0" xfId="0" applyFont="1" applyBorder="1" applyAlignment="1">
      <alignment horizontal="left" vertical="top"/>
    </xf>
    <xf numFmtId="167" fontId="14" fillId="9" borderId="10" xfId="0" applyFont="1" applyFill="1" applyBorder="1" applyAlignment="1">
      <alignment vertical="top"/>
    </xf>
    <xf numFmtId="2" fontId="14" fillId="9" borderId="12" xfId="0" applyNumberFormat="1" applyFont="1" applyFill="1" applyBorder="1" applyAlignment="1">
      <alignment horizontal="left" vertical="top"/>
    </xf>
    <xf numFmtId="2" fontId="14" fillId="9" borderId="7" xfId="0" applyNumberFormat="1" applyFont="1" applyFill="1" applyBorder="1" applyAlignment="1">
      <alignment horizontal="left" vertical="top"/>
    </xf>
    <xf numFmtId="2" fontId="14" fillId="9" borderId="0" xfId="0" applyNumberFormat="1" applyFont="1" applyFill="1" applyBorder="1" applyAlignment="1">
      <alignment horizontal="left" vertical="top"/>
    </xf>
    <xf numFmtId="2" fontId="14" fillId="9" borderId="10" xfId="0" applyNumberFormat="1" applyFont="1" applyFill="1" applyBorder="1" applyAlignment="1">
      <alignment horizontal="left" vertical="top"/>
    </xf>
    <xf numFmtId="167" fontId="13" fillId="9" borderId="12" xfId="0" applyFont="1" applyFill="1" applyBorder="1" applyAlignment="1">
      <alignment horizontal="left" vertical="top"/>
    </xf>
    <xf numFmtId="167" fontId="14" fillId="9" borderId="14" xfId="0" applyFont="1" applyFill="1" applyBorder="1" applyAlignment="1">
      <alignment horizontal="left" vertical="top"/>
    </xf>
    <xf numFmtId="167" fontId="13" fillId="9" borderId="8" xfId="0" applyFont="1" applyFill="1" applyBorder="1" applyAlignment="1">
      <alignment horizontal="left" vertical="top"/>
    </xf>
    <xf numFmtId="167" fontId="14" fillId="9" borderId="10" xfId="0" applyFont="1" applyFill="1" applyBorder="1" applyAlignment="1">
      <alignment horizontal="left" vertical="top"/>
    </xf>
    <xf numFmtId="167" fontId="14" fillId="9" borderId="5" xfId="0" applyFont="1" applyFill="1" applyBorder="1" applyAlignment="1">
      <alignment horizontal="left" vertical="top"/>
    </xf>
    <xf numFmtId="167" fontId="14" fillId="0" borderId="11" xfId="0" applyFont="1" applyFill="1" applyBorder="1" applyAlignment="1">
      <alignment vertical="top"/>
    </xf>
    <xf numFmtId="167" fontId="13" fillId="0" borderId="3" xfId="0" applyFont="1" applyFill="1" applyBorder="1" applyAlignment="1">
      <alignment vertical="top"/>
    </xf>
    <xf numFmtId="167" fontId="13" fillId="0" borderId="3" xfId="0" applyFont="1" applyBorder="1" applyAlignment="1">
      <alignment vertical="top"/>
    </xf>
    <xf numFmtId="167" fontId="25" fillId="0" borderId="3" xfId="0" applyFont="1" applyFill="1" applyBorder="1" applyAlignment="1">
      <alignment vertical="top"/>
    </xf>
    <xf numFmtId="167" fontId="26" fillId="0" borderId="3" xfId="0" applyFont="1" applyFill="1" applyBorder="1" applyAlignment="1">
      <alignment vertical="top"/>
    </xf>
    <xf numFmtId="167" fontId="13" fillId="0" borderId="3" xfId="0" applyFont="1" applyBorder="1" applyAlignment="1">
      <alignment horizontal="left" vertical="top"/>
    </xf>
    <xf numFmtId="167" fontId="14" fillId="0" borderId="3" xfId="0" applyFont="1" applyBorder="1" applyAlignment="1">
      <alignment horizontal="left" vertical="top"/>
    </xf>
    <xf numFmtId="167" fontId="24" fillId="0" borderId="3" xfId="0" applyFont="1" applyFill="1" applyBorder="1" applyAlignment="1">
      <alignment horizontal="left" vertical="top"/>
    </xf>
    <xf numFmtId="167" fontId="24" fillId="0" borderId="3" xfId="0" applyFont="1" applyBorder="1" applyAlignment="1">
      <alignment vertical="top"/>
    </xf>
    <xf numFmtId="167" fontId="14" fillId="0" borderId="2" xfId="0" applyFont="1" applyBorder="1" applyAlignment="1">
      <alignment vertical="top"/>
    </xf>
    <xf numFmtId="167" fontId="0" fillId="0" borderId="3" xfId="0" applyFill="1" applyBorder="1" applyAlignment="1">
      <alignment vertical="top"/>
    </xf>
    <xf numFmtId="167" fontId="27" fillId="0" borderId="3" xfId="0" applyFont="1" applyFill="1" applyBorder="1" applyAlignment="1">
      <alignment horizontal="left" vertical="top"/>
    </xf>
    <xf numFmtId="167" fontId="27" fillId="0" borderId="3" xfId="0" applyFont="1" applyBorder="1" applyAlignment="1">
      <alignment vertical="top"/>
    </xf>
    <xf numFmtId="2" fontId="42" fillId="0" borderId="13" xfId="0" applyNumberFormat="1" applyFont="1" applyFill="1" applyBorder="1" applyAlignment="1">
      <alignment horizontal="left" vertical="top"/>
    </xf>
    <xf numFmtId="2" fontId="42" fillId="0" borderId="6" xfId="0" applyNumberFormat="1" applyFont="1" applyFill="1" applyBorder="1" applyAlignment="1">
      <alignment horizontal="left" vertical="top"/>
    </xf>
    <xf numFmtId="167" fontId="14" fillId="9" borderId="0" xfId="0" applyFont="1" applyFill="1" applyBorder="1" applyAlignment="1">
      <alignment horizontal="left" vertical="top"/>
    </xf>
    <xf numFmtId="167" fontId="13" fillId="9" borderId="14" xfId="0" applyFont="1" applyFill="1" applyBorder="1" applyAlignment="1">
      <alignment horizontal="left" vertical="top"/>
    </xf>
    <xf numFmtId="167" fontId="0" fillId="12" borderId="0" xfId="0" applyFill="1"/>
    <xf numFmtId="167" fontId="14" fillId="0" borderId="0" xfId="0" applyFont="1" applyFill="1"/>
    <xf numFmtId="167" fontId="0" fillId="0" borderId="0" xfId="0" applyFill="1"/>
    <xf numFmtId="167" fontId="14" fillId="0" borderId="0" xfId="0" applyFont="1" applyFill="1" applyAlignment="1">
      <alignment horizontal="left"/>
    </xf>
    <xf numFmtId="167" fontId="13" fillId="0" borderId="0" xfId="0" applyFont="1" applyAlignment="1">
      <alignment horizontal="left"/>
    </xf>
    <xf numFmtId="2" fontId="53" fillId="0" borderId="37" xfId="0" applyNumberFormat="1" applyFont="1" applyFill="1" applyBorder="1" applyAlignment="1">
      <alignment horizontal="left" vertical="top"/>
    </xf>
    <xf numFmtId="2" fontId="53" fillId="0" borderId="38" xfId="0" applyNumberFormat="1" applyFont="1" applyFill="1" applyBorder="1" applyAlignment="1">
      <alignment horizontal="left" vertical="top"/>
    </xf>
    <xf numFmtId="2" fontId="13" fillId="13" borderId="39" xfId="0" applyNumberFormat="1" applyFont="1" applyFill="1" applyBorder="1" applyAlignment="1">
      <alignment horizontal="left" vertical="top"/>
    </xf>
    <xf numFmtId="167" fontId="14" fillId="0" borderId="0" xfId="0" quotePrefix="1" applyFont="1" applyFill="1" applyBorder="1" applyAlignment="1">
      <alignment horizontal="left" vertical="top"/>
    </xf>
    <xf numFmtId="2" fontId="14" fillId="9" borderId="4" xfId="0" applyNumberFormat="1" applyFont="1" applyFill="1" applyBorder="1" applyAlignment="1">
      <alignment horizontal="left" vertical="top"/>
    </xf>
    <xf numFmtId="167" fontId="13" fillId="9" borderId="0" xfId="0" applyFont="1" applyFill="1" applyBorder="1" applyAlignment="1">
      <alignment vertical="top"/>
    </xf>
    <xf numFmtId="2" fontId="13" fillId="0" borderId="10" xfId="0" applyNumberFormat="1" applyFont="1" applyFill="1" applyBorder="1" applyAlignment="1">
      <alignment horizontal="left" vertical="top"/>
    </xf>
    <xf numFmtId="10" fontId="13" fillId="8" borderId="2" xfId="0" applyNumberFormat="1" applyFont="1" applyFill="1" applyBorder="1" applyAlignment="1">
      <alignment horizontal="left" vertical="top"/>
    </xf>
    <xf numFmtId="10" fontId="27" fillId="0" borderId="0" xfId="2" applyNumberFormat="1" applyFont="1" applyFill="1" applyBorder="1" applyAlignment="1">
      <alignment horizontal="left" vertical="top"/>
    </xf>
    <xf numFmtId="10" fontId="27" fillId="0" borderId="5" xfId="2" applyNumberFormat="1" applyFont="1" applyFill="1" applyBorder="1" applyAlignment="1">
      <alignment horizontal="left" vertical="top"/>
    </xf>
    <xf numFmtId="166" fontId="35" fillId="0" borderId="13" xfId="2" applyNumberFormat="1" applyFont="1" applyFill="1" applyBorder="1" applyAlignment="1">
      <alignment horizontal="left" vertical="top"/>
    </xf>
    <xf numFmtId="166" fontId="35" fillId="0" borderId="12" xfId="2" applyNumberFormat="1" applyFont="1" applyFill="1" applyBorder="1" applyAlignment="1">
      <alignment horizontal="left" vertical="top"/>
    </xf>
    <xf numFmtId="166" fontId="35" fillId="0" borderId="14" xfId="2" applyNumberFormat="1" applyFont="1" applyFill="1" applyBorder="1" applyAlignment="1">
      <alignment horizontal="left" vertical="top"/>
    </xf>
    <xf numFmtId="167" fontId="13" fillId="5" borderId="2" xfId="0" applyFont="1" applyFill="1" applyBorder="1" applyAlignment="1">
      <alignment horizontal="left" vertical="top"/>
    </xf>
    <xf numFmtId="167" fontId="13" fillId="2" borderId="2" xfId="0" applyFont="1" applyFill="1" applyBorder="1" applyAlignment="1">
      <alignment horizontal="left" vertical="top"/>
    </xf>
    <xf numFmtId="10" fontId="42" fillId="0" borderId="2" xfId="2" applyNumberFormat="1" applyFont="1" applyFill="1" applyBorder="1" applyAlignment="1">
      <alignment horizontal="left" vertical="top"/>
    </xf>
    <xf numFmtId="1" fontId="47" fillId="0" borderId="0" xfId="0" applyNumberFormat="1" applyFont="1" applyFill="1" applyBorder="1" applyAlignment="1">
      <alignment horizontal="right" vertical="top"/>
    </xf>
    <xf numFmtId="2" fontId="47" fillId="0" borderId="0" xfId="0" applyNumberFormat="1" applyFont="1" applyFill="1" applyAlignment="1">
      <alignment horizontal="right" vertical="top"/>
    </xf>
    <xf numFmtId="2" fontId="13" fillId="3" borderId="35" xfId="0" applyNumberFormat="1" applyFont="1" applyFill="1" applyBorder="1" applyAlignment="1">
      <alignment horizontal="left" vertical="top"/>
    </xf>
    <xf numFmtId="167" fontId="13" fillId="0" borderId="0" xfId="0" applyFont="1" applyFill="1" applyBorder="1" applyAlignment="1">
      <alignment horizontal="left" vertical="top"/>
    </xf>
    <xf numFmtId="165" fontId="42" fillId="0" borderId="12" xfId="0" applyNumberFormat="1" applyFont="1" applyFill="1" applyBorder="1" applyAlignment="1">
      <alignment horizontal="left" vertical="top"/>
    </xf>
    <xf numFmtId="167" fontId="0" fillId="12" borderId="0" xfId="0" applyFill="1" applyAlignment="1">
      <alignment horizontal="left"/>
    </xf>
    <xf numFmtId="167" fontId="0" fillId="0" borderId="0" xfId="0" applyFill="1" applyAlignment="1">
      <alignment horizontal="left"/>
    </xf>
    <xf numFmtId="167" fontId="13" fillId="0" borderId="0" xfId="0" applyFont="1" applyFill="1" applyAlignment="1">
      <alignment horizontal="left"/>
    </xf>
    <xf numFmtId="167" fontId="13" fillId="0" borderId="0" xfId="0" applyFont="1" applyFill="1"/>
    <xf numFmtId="10" fontId="0" fillId="0" borderId="0" xfId="0" applyNumberFormat="1" applyFill="1" applyAlignment="1">
      <alignment horizontal="left"/>
    </xf>
    <xf numFmtId="167" fontId="0" fillId="0" borderId="0" xfId="0" applyNumberFormat="1" applyFill="1"/>
    <xf numFmtId="167" fontId="13" fillId="0" borderId="12" xfId="4" applyFont="1" applyFill="1" applyBorder="1">
      <alignment vertical="top"/>
    </xf>
    <xf numFmtId="167" fontId="0" fillId="0" borderId="12" xfId="0" applyNumberFormat="1" applyFill="1" applyBorder="1"/>
    <xf numFmtId="167" fontId="13" fillId="0" borderId="0" xfId="4" applyFont="1" applyFill="1">
      <alignment vertical="top"/>
    </xf>
    <xf numFmtId="167" fontId="13" fillId="0" borderId="10" xfId="0" applyNumberFormat="1" applyFont="1" applyBorder="1" applyAlignment="1">
      <alignment horizontal="left" vertical="top"/>
    </xf>
    <xf numFmtId="11" fontId="13" fillId="0" borderId="10" xfId="0" applyNumberFormat="1" applyFont="1" applyBorder="1" applyAlignment="1">
      <alignment horizontal="left" vertical="top"/>
    </xf>
    <xf numFmtId="167" fontId="13" fillId="0" borderId="12" xfId="0" applyNumberFormat="1" applyFont="1" applyBorder="1" applyAlignment="1">
      <alignment horizontal="left" vertical="top"/>
    </xf>
    <xf numFmtId="167" fontId="13" fillId="0" borderId="7" xfId="0" applyFont="1" applyFill="1" applyBorder="1" applyAlignment="1">
      <alignment vertical="top"/>
    </xf>
    <xf numFmtId="167" fontId="13" fillId="6" borderId="2" xfId="0" applyFont="1" applyFill="1" applyBorder="1" applyAlignment="1">
      <alignment vertical="top"/>
    </xf>
    <xf numFmtId="167" fontId="13" fillId="14" borderId="1" xfId="0" applyFont="1" applyFill="1" applyBorder="1" applyAlignment="1">
      <alignment vertical="top"/>
    </xf>
    <xf numFmtId="167" fontId="13" fillId="6" borderId="1" xfId="0" applyFont="1" applyFill="1" applyBorder="1" applyAlignment="1">
      <alignment vertical="top"/>
    </xf>
    <xf numFmtId="167" fontId="13" fillId="0" borderId="7" xfId="0" applyNumberFormat="1" applyFont="1" applyBorder="1" applyAlignment="1">
      <alignment horizontal="left" vertical="top"/>
    </xf>
    <xf numFmtId="167" fontId="13" fillId="9" borderId="12" xfId="0" applyNumberFormat="1" applyFont="1" applyFill="1" applyBorder="1" applyAlignment="1">
      <alignment horizontal="left" vertical="top"/>
    </xf>
    <xf numFmtId="167" fontId="13" fillId="9" borderId="7" xfId="0" applyFont="1" applyFill="1" applyBorder="1" applyAlignment="1">
      <alignment vertical="top"/>
    </xf>
    <xf numFmtId="167" fontId="13" fillId="0" borderId="5" xfId="0" applyFont="1" applyFill="1" applyBorder="1" applyAlignment="1">
      <alignment vertical="top"/>
    </xf>
    <xf numFmtId="167" fontId="15" fillId="0" borderId="5" xfId="0" applyFont="1" applyBorder="1" applyAlignment="1">
      <alignment vertical="top"/>
    </xf>
    <xf numFmtId="167" fontId="38" fillId="0" borderId="10" xfId="0" applyNumberFormat="1" applyFont="1" applyBorder="1" applyAlignment="1">
      <alignment horizontal="left" vertical="top"/>
    </xf>
    <xf numFmtId="166" fontId="13" fillId="0" borderId="10" xfId="2" applyNumberFormat="1" applyFont="1" applyBorder="1" applyAlignment="1">
      <alignment horizontal="left" vertical="top"/>
    </xf>
    <xf numFmtId="165" fontId="47" fillId="0" borderId="0" xfId="0" applyNumberFormat="1" applyFont="1" applyBorder="1" applyAlignment="1">
      <alignment horizontal="left"/>
    </xf>
    <xf numFmtId="166" fontId="27" fillId="0" borderId="0" xfId="0" applyNumberFormat="1" applyFont="1" applyBorder="1" applyAlignment="1">
      <alignment horizontal="left" vertical="top"/>
    </xf>
    <xf numFmtId="167" fontId="47" fillId="0" borderId="0" xfId="0" applyFont="1" applyFill="1" applyBorder="1" applyAlignment="1">
      <alignment vertical="top"/>
    </xf>
    <xf numFmtId="166" fontId="47" fillId="0" borderId="0" xfId="0" applyNumberFormat="1" applyFont="1" applyBorder="1" applyAlignment="1">
      <alignment horizontal="left" vertical="top"/>
    </xf>
    <xf numFmtId="167" fontId="47" fillId="0" borderId="0" xfId="0" applyNumberFormat="1" applyFont="1" applyBorder="1" applyAlignment="1">
      <alignment horizontal="left" vertical="top"/>
    </xf>
    <xf numFmtId="167" fontId="47" fillId="0" borderId="0" xfId="0" applyNumberFormat="1" applyFont="1" applyFill="1" applyBorder="1" applyAlignment="1">
      <alignment horizontal="left" vertical="top"/>
    </xf>
    <xf numFmtId="166" fontId="47" fillId="0" borderId="0" xfId="0" applyNumberFormat="1" applyFont="1" applyFill="1" applyBorder="1" applyAlignment="1">
      <alignment horizontal="left" vertical="top"/>
    </xf>
    <xf numFmtId="10" fontId="47" fillId="0" borderId="0" xfId="0" applyNumberFormat="1" applyFont="1" applyFill="1" applyBorder="1" applyAlignment="1">
      <alignment horizontal="left" vertical="top"/>
    </xf>
    <xf numFmtId="166" fontId="60" fillId="0" borderId="0" xfId="0" applyNumberFormat="1" applyFont="1" applyBorder="1" applyAlignment="1">
      <alignment horizontal="left" vertical="top"/>
    </xf>
    <xf numFmtId="166" fontId="60" fillId="0" borderId="0" xfId="0" applyNumberFormat="1" applyFont="1" applyFill="1" applyBorder="1" applyAlignment="1">
      <alignment horizontal="left" vertical="top"/>
    </xf>
    <xf numFmtId="167" fontId="27" fillId="0" borderId="0" xfId="0" applyNumberFormat="1" applyFont="1" applyBorder="1" applyAlignment="1">
      <alignment horizontal="left" vertical="top"/>
    </xf>
    <xf numFmtId="166" fontId="27" fillId="0" borderId="0" xfId="0" applyNumberFormat="1" applyFont="1" applyFill="1" applyBorder="1" applyAlignment="1">
      <alignment horizontal="left" vertical="top"/>
    </xf>
    <xf numFmtId="167" fontId="13" fillId="14" borderId="10" xfId="0" applyFont="1" applyFill="1" applyBorder="1" applyAlignment="1">
      <alignment horizontal="right" vertical="top"/>
    </xf>
    <xf numFmtId="166" fontId="13" fillId="14" borderId="10" xfId="0" applyNumberFormat="1" applyFont="1" applyFill="1" applyBorder="1" applyAlignment="1">
      <alignment horizontal="left" vertical="top"/>
    </xf>
    <xf numFmtId="10" fontId="13" fillId="0" borderId="9" xfId="0" applyNumberFormat="1" applyFont="1" applyFill="1" applyBorder="1" applyAlignment="1">
      <alignment horizontal="left" vertical="top"/>
    </xf>
    <xf numFmtId="167" fontId="32" fillId="4" borderId="6" xfId="0" applyNumberFormat="1" applyFont="1" applyFill="1" applyBorder="1" applyAlignment="1">
      <alignment horizontal="left" vertical="top"/>
    </xf>
    <xf numFmtId="167" fontId="42" fillId="0" borderId="4" xfId="0" applyFont="1" applyFill="1" applyBorder="1" applyAlignment="1">
      <alignment horizontal="left" vertical="top"/>
    </xf>
    <xf numFmtId="9" fontId="42" fillId="0" borderId="4" xfId="0" applyNumberFormat="1" applyFont="1" applyFill="1" applyBorder="1" applyAlignment="1">
      <alignment horizontal="left" vertical="top"/>
    </xf>
    <xf numFmtId="167" fontId="42" fillId="0" borderId="4" xfId="0" quotePrefix="1" applyFont="1" applyFill="1" applyBorder="1" applyAlignment="1">
      <alignment horizontal="left" vertical="top"/>
    </xf>
    <xf numFmtId="10" fontId="42" fillId="0" borderId="4" xfId="2" quotePrefix="1" applyNumberFormat="1" applyFont="1" applyFill="1" applyBorder="1" applyAlignment="1">
      <alignment horizontal="left" vertical="top"/>
    </xf>
    <xf numFmtId="167" fontId="0" fillId="0" borderId="4" xfId="0" applyBorder="1" applyAlignment="1">
      <alignment vertical="top"/>
    </xf>
    <xf numFmtId="167" fontId="0" fillId="0" borderId="43" xfId="0" applyBorder="1" applyAlignment="1">
      <alignment vertical="top"/>
    </xf>
    <xf numFmtId="167" fontId="15" fillId="0" borderId="43" xfId="0" applyFont="1" applyBorder="1" applyAlignment="1">
      <alignment vertical="top"/>
    </xf>
    <xf numFmtId="167" fontId="15" fillId="0" borderId="51" xfId="0" applyFont="1" applyBorder="1" applyAlignment="1">
      <alignment vertical="top"/>
    </xf>
    <xf numFmtId="167" fontId="13" fillId="0" borderId="50" xfId="0" applyFont="1" applyBorder="1" applyAlignment="1">
      <alignment vertical="top"/>
    </xf>
    <xf numFmtId="167" fontId="13" fillId="0" borderId="51" xfId="0" applyFont="1" applyBorder="1" applyAlignment="1">
      <alignment vertical="top"/>
    </xf>
    <xf numFmtId="166" fontId="14" fillId="14" borderId="10" xfId="0" applyNumberFormat="1" applyFont="1" applyFill="1" applyBorder="1" applyAlignment="1">
      <alignment horizontal="left" vertical="top"/>
    </xf>
    <xf numFmtId="167" fontId="13" fillId="14" borderId="10" xfId="0" applyFont="1" applyFill="1" applyBorder="1" applyAlignment="1">
      <alignment vertical="top"/>
    </xf>
    <xf numFmtId="167" fontId="0" fillId="0" borderId="4" xfId="0" applyFill="1" applyBorder="1" applyAlignment="1">
      <alignment vertical="top"/>
    </xf>
    <xf numFmtId="167" fontId="27" fillId="0" borderId="4" xfId="0" applyFont="1" applyBorder="1" applyAlignment="1">
      <alignment vertical="top"/>
    </xf>
    <xf numFmtId="9" fontId="13" fillId="0" borderId="2" xfId="0" applyNumberFormat="1" applyFont="1" applyFill="1" applyBorder="1" applyAlignment="1">
      <alignment horizontal="left" vertical="top"/>
    </xf>
    <xf numFmtId="167" fontId="13" fillId="0" borderId="2" xfId="0" applyFont="1" applyFill="1" applyBorder="1" applyAlignment="1">
      <alignment horizontal="left" vertical="top"/>
    </xf>
    <xf numFmtId="165" fontId="42" fillId="0" borderId="14" xfId="0" applyNumberFormat="1" applyFont="1" applyFill="1" applyBorder="1" applyAlignment="1">
      <alignment horizontal="left" vertical="top"/>
    </xf>
    <xf numFmtId="9" fontId="13" fillId="0" borderId="5" xfId="0" applyNumberFormat="1" applyFont="1" applyFill="1" applyBorder="1" applyAlignment="1">
      <alignment horizontal="left" vertical="top"/>
    </xf>
    <xf numFmtId="2" fontId="13" fillId="0" borderId="4" xfId="0" applyNumberFormat="1" applyFont="1" applyBorder="1" applyAlignment="1">
      <alignment horizontal="left" vertical="top"/>
    </xf>
    <xf numFmtId="10" fontId="27" fillId="0" borderId="4" xfId="2" applyNumberFormat="1" applyFont="1" applyFill="1" applyBorder="1" applyAlignment="1">
      <alignment horizontal="left" vertical="top"/>
    </xf>
    <xf numFmtId="167" fontId="15" fillId="0" borderId="12" xfId="0" applyFont="1" applyBorder="1" applyAlignment="1">
      <alignment vertical="top"/>
    </xf>
    <xf numFmtId="166" fontId="0" fillId="0" borderId="0" xfId="0" applyNumberFormat="1" applyFill="1" applyAlignment="1">
      <alignment horizontal="left"/>
    </xf>
    <xf numFmtId="10" fontId="14" fillId="0" borderId="0" xfId="0" applyNumberFormat="1" applyFont="1" applyFill="1" applyBorder="1" applyAlignment="1">
      <alignment horizontal="left"/>
    </xf>
    <xf numFmtId="167" fontId="14" fillId="9" borderId="0" xfId="0" applyFont="1" applyFill="1" applyBorder="1" applyAlignment="1">
      <alignment horizontal="left"/>
    </xf>
    <xf numFmtId="167" fontId="0" fillId="0" borderId="12" xfId="0" applyFill="1" applyBorder="1"/>
    <xf numFmtId="167" fontId="62" fillId="0" borderId="0" xfId="0" applyFont="1" applyBorder="1" applyAlignment="1">
      <alignment vertical="top"/>
    </xf>
    <xf numFmtId="166" fontId="0" fillId="0" borderId="10" xfId="0" applyNumberFormat="1" applyFill="1" applyBorder="1" applyAlignment="1">
      <alignment horizontal="left"/>
    </xf>
    <xf numFmtId="167" fontId="14" fillId="0" borderId="6" xfId="0" applyFont="1" applyFill="1" applyBorder="1" applyAlignment="1">
      <alignment vertical="top"/>
    </xf>
    <xf numFmtId="167" fontId="15" fillId="0" borderId="4" xfId="0" applyFont="1" applyBorder="1" applyAlignment="1">
      <alignment vertical="top"/>
    </xf>
    <xf numFmtId="167" fontId="14" fillId="9" borderId="48" xfId="0" applyFont="1" applyFill="1" applyBorder="1" applyAlignment="1">
      <alignment horizontal="left"/>
    </xf>
    <xf numFmtId="167" fontId="0" fillId="9" borderId="43" xfId="0" applyFill="1" applyBorder="1" applyAlignment="1">
      <alignment horizontal="left"/>
    </xf>
    <xf numFmtId="167" fontId="0" fillId="9" borderId="49" xfId="0" applyFill="1" applyBorder="1" applyAlignment="1">
      <alignment horizontal="left"/>
    </xf>
    <xf numFmtId="167" fontId="13" fillId="9" borderId="50" xfId="0" applyFont="1" applyFill="1" applyBorder="1" applyAlignment="1">
      <alignment horizontal="left"/>
    </xf>
    <xf numFmtId="167" fontId="0" fillId="9" borderId="0" xfId="0" applyFill="1" applyBorder="1" applyAlignment="1">
      <alignment horizontal="left"/>
    </xf>
    <xf numFmtId="167" fontId="0" fillId="9" borderId="51" xfId="0" applyFill="1" applyBorder="1" applyAlignment="1">
      <alignment horizontal="left"/>
    </xf>
    <xf numFmtId="10" fontId="0" fillId="9" borderId="51" xfId="0" applyNumberFormat="1" applyFill="1" applyBorder="1" applyAlignment="1">
      <alignment horizontal="left"/>
    </xf>
    <xf numFmtId="10" fontId="0" fillId="9" borderId="0" xfId="0" applyNumberFormat="1" applyFill="1" applyBorder="1" applyAlignment="1">
      <alignment horizontal="left"/>
    </xf>
    <xf numFmtId="167" fontId="13" fillId="9" borderId="52" xfId="0" applyFont="1" applyFill="1" applyBorder="1" applyAlignment="1">
      <alignment horizontal="left"/>
    </xf>
    <xf numFmtId="10" fontId="0" fillId="9" borderId="45" xfId="0" applyNumberFormat="1" applyFill="1" applyBorder="1" applyAlignment="1">
      <alignment horizontal="left"/>
    </xf>
    <xf numFmtId="167" fontId="0" fillId="9" borderId="45" xfId="0" applyFill="1" applyBorder="1" applyAlignment="1">
      <alignment horizontal="left"/>
    </xf>
    <xf numFmtId="167" fontId="0" fillId="9" borderId="53" xfId="0" applyFill="1" applyBorder="1" applyAlignment="1">
      <alignment horizontal="left"/>
    </xf>
    <xf numFmtId="167" fontId="0" fillId="9" borderId="48" xfId="0" applyFill="1" applyBorder="1" applyAlignment="1">
      <alignment horizontal="left"/>
    </xf>
    <xf numFmtId="167" fontId="13" fillId="9" borderId="43" xfId="0" applyFont="1" applyFill="1" applyBorder="1" applyAlignment="1">
      <alignment horizontal="left"/>
    </xf>
    <xf numFmtId="167" fontId="17" fillId="9" borderId="50" xfId="0" applyFont="1" applyFill="1" applyBorder="1" applyAlignment="1">
      <alignment horizontal="left"/>
    </xf>
    <xf numFmtId="10" fontId="13" fillId="9" borderId="51" xfId="0" applyNumberFormat="1" applyFont="1" applyFill="1" applyBorder="1" applyAlignment="1">
      <alignment horizontal="left"/>
    </xf>
    <xf numFmtId="167" fontId="14" fillId="9" borderId="50" xfId="0" applyFont="1" applyFill="1" applyBorder="1" applyAlignment="1">
      <alignment horizontal="left"/>
    </xf>
    <xf numFmtId="10" fontId="0" fillId="9" borderId="53" xfId="0" applyNumberFormat="1" applyFill="1" applyBorder="1" applyAlignment="1">
      <alignment horizontal="left"/>
    </xf>
    <xf numFmtId="167" fontId="13" fillId="9" borderId="48" xfId="0" applyFont="1" applyFill="1" applyBorder="1" applyAlignment="1">
      <alignment horizontal="left"/>
    </xf>
    <xf numFmtId="10" fontId="0" fillId="9" borderId="49" xfId="0" applyNumberFormat="1" applyFill="1" applyBorder="1" applyAlignment="1">
      <alignment horizontal="left"/>
    </xf>
    <xf numFmtId="167" fontId="14" fillId="9" borderId="49" xfId="0" applyFont="1" applyFill="1" applyBorder="1" applyAlignment="1">
      <alignment horizontal="left"/>
    </xf>
    <xf numFmtId="167" fontId="0" fillId="0" borderId="0" xfId="0" applyFill="1" applyBorder="1" applyAlignment="1">
      <alignment horizontal="left"/>
    </xf>
    <xf numFmtId="167" fontId="46" fillId="0" borderId="0" xfId="0" applyFont="1" applyBorder="1" applyAlignment="1">
      <alignment vertical="top"/>
    </xf>
    <xf numFmtId="167" fontId="14" fillId="0" borderId="12" xfId="4" applyFont="1" applyFill="1" applyBorder="1" applyAlignment="1">
      <alignment horizontal="left" vertical="top"/>
    </xf>
    <xf numFmtId="167" fontId="13" fillId="0" borderId="0" xfId="4" applyFont="1" applyFill="1" applyAlignment="1">
      <alignment horizontal="left" vertical="top"/>
    </xf>
    <xf numFmtId="10" fontId="46" fillId="0" borderId="0" xfId="2" applyNumberFormat="1" applyFont="1" applyFill="1" applyBorder="1" applyAlignment="1">
      <alignment horizontal="left" vertical="top"/>
    </xf>
    <xf numFmtId="167" fontId="13" fillId="0" borderId="0" xfId="0" applyFont="1" applyFill="1" applyBorder="1" applyAlignment="1">
      <alignment horizontal="left" vertical="top"/>
    </xf>
    <xf numFmtId="167" fontId="13" fillId="0" borderId="5" xfId="0" applyFont="1" applyFill="1" applyBorder="1" applyAlignment="1">
      <alignment horizontal="left" vertical="top"/>
    </xf>
    <xf numFmtId="167" fontId="65" fillId="0" borderId="0" xfId="0" applyFont="1" applyFill="1" applyAlignment="1">
      <alignment horizontal="left"/>
    </xf>
    <xf numFmtId="10" fontId="13" fillId="0" borderId="5" xfId="0" applyNumberFormat="1" applyFont="1" applyFill="1" applyBorder="1" applyAlignment="1">
      <alignment horizontal="left" vertical="top"/>
    </xf>
    <xf numFmtId="10" fontId="13" fillId="0" borderId="5" xfId="2" quotePrefix="1" applyNumberFormat="1" applyFont="1" applyFill="1" applyBorder="1" applyAlignment="1">
      <alignment horizontal="left" vertical="top"/>
    </xf>
    <xf numFmtId="167" fontId="13" fillId="0" borderId="5" xfId="0" quotePrefix="1" applyFont="1" applyFill="1" applyBorder="1" applyAlignment="1">
      <alignment horizontal="left" vertical="top"/>
    </xf>
    <xf numFmtId="2" fontId="13" fillId="0" borderId="5" xfId="0" applyNumberFormat="1" applyFont="1" applyFill="1" applyBorder="1" applyAlignment="1">
      <alignment horizontal="left" vertical="top"/>
    </xf>
    <xf numFmtId="167" fontId="14" fillId="0" borderId="4" xfId="0" quotePrefix="1" applyFont="1" applyFill="1" applyBorder="1" applyAlignment="1">
      <alignment horizontal="left" vertical="top"/>
    </xf>
    <xf numFmtId="167" fontId="42" fillId="0" borderId="8" xfId="0" applyFont="1" applyFill="1" applyBorder="1" applyAlignment="1">
      <alignment horizontal="left" vertical="top"/>
    </xf>
    <xf numFmtId="2" fontId="47" fillId="0" borderId="0" xfId="0" applyNumberFormat="1" applyFont="1" applyFill="1" applyBorder="1" applyAlignment="1">
      <alignment horizontal="right" vertical="top"/>
    </xf>
    <xf numFmtId="17" fontId="42" fillId="0" borderId="0" xfId="0" applyNumberFormat="1" applyFont="1" applyFill="1" applyBorder="1" applyAlignment="1">
      <alignment horizontal="right" vertical="top"/>
    </xf>
    <xf numFmtId="10" fontId="13" fillId="0" borderId="1" xfId="0" applyNumberFormat="1" applyFont="1" applyFill="1" applyBorder="1" applyAlignment="1">
      <alignment horizontal="left" vertical="top"/>
    </xf>
    <xf numFmtId="167" fontId="17" fillId="0" borderId="4" xfId="0" applyFont="1" applyBorder="1" applyAlignment="1">
      <alignment horizontal="left" vertical="top" indent="1"/>
    </xf>
    <xf numFmtId="167" fontId="13" fillId="0" borderId="4" xfId="0" applyFont="1" applyFill="1" applyBorder="1" applyAlignment="1">
      <alignment horizontal="left" vertical="top" indent="1"/>
    </xf>
    <xf numFmtId="167" fontId="32" fillId="4" borderId="9" xfId="0" applyNumberFormat="1" applyFont="1" applyFill="1" applyBorder="1" applyAlignment="1">
      <alignment horizontal="left" vertical="top"/>
    </xf>
    <xf numFmtId="2" fontId="13" fillId="0" borderId="5" xfId="0" applyNumberFormat="1" applyFont="1" applyBorder="1" applyAlignment="1">
      <alignment horizontal="left" vertical="top"/>
    </xf>
    <xf numFmtId="167" fontId="13" fillId="0" borderId="46" xfId="0" applyFont="1" applyFill="1" applyBorder="1" applyAlignment="1">
      <alignment horizontal="left" vertical="top"/>
    </xf>
    <xf numFmtId="10" fontId="13" fillId="0" borderId="1" xfId="2" applyNumberFormat="1" applyFont="1" applyFill="1" applyBorder="1" applyAlignment="1">
      <alignment horizontal="left" vertical="top"/>
    </xf>
    <xf numFmtId="167" fontId="35" fillId="0" borderId="9" xfId="0" applyFont="1" applyFill="1" applyBorder="1" applyAlignment="1">
      <alignment horizontal="left" vertical="top"/>
    </xf>
    <xf numFmtId="167" fontId="35" fillId="0" borderId="10" xfId="0" applyFont="1" applyFill="1" applyBorder="1" applyAlignment="1">
      <alignment horizontal="left" vertical="top"/>
    </xf>
    <xf numFmtId="9" fontId="13" fillId="0" borderId="13" xfId="0" applyNumberFormat="1" applyFont="1" applyFill="1" applyBorder="1" applyAlignment="1">
      <alignment horizontal="left" vertical="top"/>
    </xf>
    <xf numFmtId="9" fontId="13" fillId="0" borderId="12" xfId="0" applyNumberFormat="1" applyFont="1" applyFill="1" applyBorder="1" applyAlignment="1">
      <alignment horizontal="left" vertical="top"/>
    </xf>
    <xf numFmtId="9" fontId="13" fillId="0" borderId="14" xfId="0" applyNumberFormat="1" applyFont="1" applyFill="1" applyBorder="1" applyAlignment="1">
      <alignment horizontal="left" vertical="top"/>
    </xf>
    <xf numFmtId="166" fontId="13" fillId="8" borderId="2" xfId="0" applyNumberFormat="1" applyFont="1" applyFill="1" applyBorder="1" applyAlignment="1">
      <alignment horizontal="left" vertical="top"/>
    </xf>
    <xf numFmtId="10" fontId="14" fillId="0" borderId="4" xfId="0" applyNumberFormat="1" applyFont="1" applyBorder="1" applyAlignment="1">
      <alignment horizontal="left" vertical="top"/>
    </xf>
    <xf numFmtId="2" fontId="13" fillId="0" borderId="5" xfId="2" applyNumberFormat="1" applyFont="1" applyFill="1" applyBorder="1" applyAlignment="1">
      <alignment horizontal="left" vertical="top"/>
    </xf>
    <xf numFmtId="2" fontId="47" fillId="0" borderId="5" xfId="2" applyNumberFormat="1" applyFont="1" applyFill="1" applyBorder="1" applyAlignment="1">
      <alignment horizontal="left" vertical="top"/>
    </xf>
    <xf numFmtId="10" fontId="27" fillId="0" borderId="0" xfId="0" applyNumberFormat="1" applyFont="1" applyFill="1" applyBorder="1" applyAlignment="1">
      <alignment horizontal="left"/>
    </xf>
    <xf numFmtId="10" fontId="27" fillId="0" borderId="0" xfId="0" applyNumberFormat="1" applyFont="1" applyFill="1" applyAlignment="1">
      <alignment horizontal="left"/>
    </xf>
    <xf numFmtId="167" fontId="27" fillId="0" borderId="0" xfId="0" applyFont="1" applyFill="1" applyAlignment="1">
      <alignment horizontal="left"/>
    </xf>
    <xf numFmtId="167" fontId="27" fillId="0" borderId="0" xfId="0" applyFont="1" applyFill="1" applyBorder="1"/>
    <xf numFmtId="166" fontId="27" fillId="0" borderId="0" xfId="0" applyNumberFormat="1" applyFont="1" applyFill="1" applyAlignment="1">
      <alignment horizontal="left"/>
    </xf>
    <xf numFmtId="10" fontId="27" fillId="0" borderId="0" xfId="2" applyNumberFormat="1" applyFont="1" applyFill="1" applyAlignment="1">
      <alignment horizontal="left"/>
    </xf>
    <xf numFmtId="167" fontId="27" fillId="0" borderId="0" xfId="0" applyFont="1" applyFill="1" applyBorder="1" applyAlignment="1">
      <alignment horizontal="left" indent="1"/>
    </xf>
    <xf numFmtId="166" fontId="27" fillId="0" borderId="0" xfId="0" applyNumberFormat="1" applyFont="1" applyFill="1" applyAlignment="1">
      <alignment horizontal="left" indent="1"/>
    </xf>
    <xf numFmtId="167" fontId="13" fillId="0" borderId="4" xfId="0" applyFont="1" applyFill="1" applyBorder="1" applyAlignment="1">
      <alignment horizontal="left" vertical="top"/>
    </xf>
    <xf numFmtId="167" fontId="13" fillId="0" borderId="5" xfId="0" applyFont="1" applyFill="1" applyBorder="1" applyAlignment="1">
      <alignment horizontal="left" vertical="top"/>
    </xf>
    <xf numFmtId="167" fontId="13" fillId="0" borderId="12" xfId="0" applyFont="1" applyFill="1" applyBorder="1" applyAlignment="1">
      <alignment horizontal="right" vertical="top"/>
    </xf>
    <xf numFmtId="166" fontId="13" fillId="0" borderId="12" xfId="0" applyNumberFormat="1" applyFont="1" applyFill="1" applyBorder="1" applyAlignment="1">
      <alignment horizontal="left" vertical="top"/>
    </xf>
    <xf numFmtId="167" fontId="13" fillId="0" borderId="12" xfId="0" applyFont="1" applyFill="1" applyBorder="1" applyAlignment="1">
      <alignment vertical="top"/>
    </xf>
    <xf numFmtId="167" fontId="13" fillId="0" borderId="9" xfId="0" applyFont="1" applyFill="1" applyBorder="1" applyAlignment="1">
      <alignment horizontal="right" vertical="top"/>
    </xf>
    <xf numFmtId="166" fontId="13" fillId="0" borderId="10" xfId="0" applyNumberFormat="1" applyFont="1" applyFill="1" applyBorder="1" applyAlignment="1">
      <alignment horizontal="left" vertical="top"/>
    </xf>
    <xf numFmtId="167" fontId="13" fillId="0" borderId="10" xfId="0" applyFont="1" applyFill="1" applyBorder="1" applyAlignment="1">
      <alignment horizontal="right" vertical="top"/>
    </xf>
    <xf numFmtId="167" fontId="13" fillId="0" borderId="1" xfId="0" applyFont="1" applyFill="1" applyBorder="1" applyAlignment="1">
      <alignment vertical="top"/>
    </xf>
    <xf numFmtId="166" fontId="14" fillId="0" borderId="10" xfId="0" applyNumberFormat="1" applyFont="1" applyFill="1" applyBorder="1" applyAlignment="1">
      <alignment horizontal="left" vertical="top"/>
    </xf>
    <xf numFmtId="167" fontId="13" fillId="0" borderId="13" xfId="0" applyFont="1" applyFill="1" applyBorder="1" applyAlignment="1">
      <alignment horizontal="right" vertical="top"/>
    </xf>
    <xf numFmtId="167" fontId="13" fillId="0" borderId="14" xfId="0" applyFont="1" applyFill="1" applyBorder="1" applyAlignment="1">
      <alignment vertical="top"/>
    </xf>
    <xf numFmtId="166" fontId="47" fillId="0" borderId="0" xfId="0" applyNumberFormat="1" applyFont="1" applyAlignment="1">
      <alignment horizontal="left"/>
    </xf>
    <xf numFmtId="167" fontId="27" fillId="0" borderId="0" xfId="0" applyFont="1" applyFill="1" applyBorder="1" applyAlignment="1">
      <alignment vertical="top"/>
    </xf>
    <xf numFmtId="167" fontId="13" fillId="0" borderId="7" xfId="0" applyFont="1" applyFill="1" applyBorder="1" applyAlignment="1">
      <alignment horizontal="right" vertical="top"/>
    </xf>
    <xf numFmtId="167" fontId="27" fillId="9" borderId="50" xfId="0" applyFont="1" applyFill="1" applyBorder="1" applyAlignment="1">
      <alignment horizontal="left"/>
    </xf>
    <xf numFmtId="167" fontId="27" fillId="9" borderId="0" xfId="0" applyFont="1" applyFill="1" applyBorder="1" applyAlignment="1">
      <alignment horizontal="left"/>
    </xf>
    <xf numFmtId="166" fontId="27" fillId="9" borderId="51" xfId="2" applyNumberFormat="1" applyFont="1" applyFill="1" applyBorder="1" applyAlignment="1">
      <alignment horizontal="left"/>
    </xf>
    <xf numFmtId="167" fontId="33" fillId="9" borderId="50" xfId="0" applyFont="1" applyFill="1" applyBorder="1" applyAlignment="1">
      <alignment horizontal="left"/>
    </xf>
    <xf numFmtId="167" fontId="27" fillId="9" borderId="52" xfId="0" applyFont="1" applyFill="1" applyBorder="1" applyAlignment="1">
      <alignment horizontal="left"/>
    </xf>
    <xf numFmtId="167" fontId="27" fillId="9" borderId="45" xfId="0" applyFont="1" applyFill="1" applyBorder="1" applyAlignment="1">
      <alignment horizontal="left"/>
    </xf>
    <xf numFmtId="166" fontId="27" fillId="9" borderId="53" xfId="2" applyNumberFormat="1" applyFont="1" applyFill="1" applyBorder="1" applyAlignment="1">
      <alignment horizontal="left"/>
    </xf>
    <xf numFmtId="167" fontId="13" fillId="9" borderId="49" xfId="0" applyFont="1" applyFill="1" applyBorder="1" applyAlignment="1">
      <alignment horizontal="left"/>
    </xf>
    <xf numFmtId="167" fontId="13" fillId="0" borderId="54" xfId="0" applyFont="1" applyFill="1" applyBorder="1" applyAlignment="1">
      <alignment horizontal="right" vertical="top"/>
    </xf>
    <xf numFmtId="166" fontId="14" fillId="0" borderId="54" xfId="0" applyNumberFormat="1" applyFont="1" applyFill="1" applyBorder="1" applyAlignment="1">
      <alignment horizontal="left" vertical="top"/>
    </xf>
    <xf numFmtId="166" fontId="13" fillId="0" borderId="54" xfId="0" applyNumberFormat="1" applyFont="1" applyFill="1" applyBorder="1" applyAlignment="1">
      <alignment horizontal="left" vertical="top"/>
    </xf>
    <xf numFmtId="167" fontId="13" fillId="0" borderId="54" xfId="0" applyFont="1" applyFill="1" applyBorder="1" applyAlignment="1">
      <alignment vertical="top"/>
    </xf>
    <xf numFmtId="167" fontId="0" fillId="0" borderId="54" xfId="0" applyBorder="1" applyAlignment="1">
      <alignment vertical="top"/>
    </xf>
    <xf numFmtId="167" fontId="13" fillId="0" borderId="0" xfId="0" applyFont="1" applyBorder="1" applyAlignment="1">
      <alignment vertical="top"/>
    </xf>
    <xf numFmtId="167" fontId="42" fillId="0" borderId="12" xfId="0" applyFont="1" applyFill="1" applyBorder="1" applyAlignment="1">
      <alignment horizontal="right" vertical="top"/>
    </xf>
    <xf numFmtId="167" fontId="25" fillId="0" borderId="0" xfId="0" applyFont="1" applyBorder="1" applyAlignment="1">
      <alignment vertical="top"/>
    </xf>
    <xf numFmtId="167" fontId="13" fillId="0" borderId="0" xfId="0" applyFont="1" applyFill="1" applyAlignment="1">
      <alignment horizontal="left" vertical="top" wrapText="1"/>
    </xf>
    <xf numFmtId="167" fontId="14" fillId="0" borderId="46" xfId="0" applyFont="1" applyFill="1" applyBorder="1" applyAlignment="1">
      <alignment vertical="top"/>
    </xf>
    <xf numFmtId="167" fontId="42" fillId="0" borderId="3" xfId="0" applyFont="1" applyFill="1" applyBorder="1" applyAlignment="1">
      <alignment horizontal="left" vertical="top"/>
    </xf>
    <xf numFmtId="167" fontId="17" fillId="0" borderId="3" xfId="0" applyFont="1" applyBorder="1" applyAlignment="1">
      <alignment vertical="top"/>
    </xf>
    <xf numFmtId="167" fontId="15" fillId="0" borderId="3" xfId="0" applyFont="1" applyBorder="1" applyAlignment="1">
      <alignment vertical="top"/>
    </xf>
    <xf numFmtId="167" fontId="18" fillId="0" borderId="3" xfId="0" applyFont="1" applyBorder="1" applyAlignment="1">
      <alignment vertical="top"/>
    </xf>
    <xf numFmtId="167" fontId="13" fillId="0" borderId="3" xfId="0" quotePrefix="1" applyFont="1" applyFill="1" applyBorder="1" applyAlignment="1">
      <alignment horizontal="right" vertical="top"/>
    </xf>
    <xf numFmtId="10" fontId="13" fillId="0" borderId="14" xfId="0" applyNumberFormat="1" applyFont="1" applyFill="1" applyBorder="1" applyAlignment="1">
      <alignment horizontal="left" vertical="top"/>
    </xf>
    <xf numFmtId="10" fontId="14" fillId="0" borderId="5" xfId="2" applyNumberFormat="1" applyFont="1" applyFill="1" applyBorder="1" applyAlignment="1">
      <alignment horizontal="left" vertical="top"/>
    </xf>
    <xf numFmtId="167" fontId="14" fillId="0" borderId="5" xfId="0" quotePrefix="1" applyFont="1" applyFill="1" applyBorder="1" applyAlignment="1">
      <alignment horizontal="left" vertical="top"/>
    </xf>
    <xf numFmtId="10" fontId="14" fillId="0" borderId="5" xfId="2" applyNumberFormat="1" applyFont="1" applyFill="1" applyBorder="1" applyAlignment="1">
      <alignment horizontal="left" vertical="top" wrapText="1"/>
    </xf>
    <xf numFmtId="167" fontId="27" fillId="0" borderId="5" xfId="0" applyNumberFormat="1" applyFont="1" applyFill="1" applyBorder="1" applyAlignment="1">
      <alignment horizontal="left" vertical="top"/>
    </xf>
    <xf numFmtId="2" fontId="13" fillId="0" borderId="0" xfId="2" applyNumberFormat="1" applyFont="1" applyFill="1" applyBorder="1" applyAlignment="1">
      <alignment horizontal="left" vertical="top"/>
    </xf>
    <xf numFmtId="2" fontId="47" fillId="0" borderId="0" xfId="2" applyNumberFormat="1" applyFont="1" applyFill="1" applyBorder="1" applyAlignment="1">
      <alignment horizontal="left" vertical="top"/>
    </xf>
    <xf numFmtId="167" fontId="13" fillId="10" borderId="55" xfId="0" applyFont="1" applyFill="1" applyBorder="1" applyAlignment="1">
      <alignment vertical="top"/>
    </xf>
    <xf numFmtId="167" fontId="13" fillId="0" borderId="0" xfId="0" applyFont="1" applyFill="1" applyBorder="1" applyAlignment="1">
      <alignment horizontal="left" vertical="top"/>
    </xf>
    <xf numFmtId="10" fontId="13" fillId="0" borderId="0" xfId="0" quotePrefix="1" applyNumberFormat="1" applyFont="1" applyFill="1" applyBorder="1" applyAlignment="1">
      <alignment horizontal="left" vertical="top"/>
    </xf>
    <xf numFmtId="9" fontId="54" fillId="4" borderId="0" xfId="0" applyNumberFormat="1" applyFont="1" applyFill="1" applyAlignment="1">
      <alignment horizontal="left"/>
    </xf>
    <xf numFmtId="167" fontId="54" fillId="4" borderId="0" xfId="0" applyFont="1" applyFill="1" applyAlignment="1">
      <alignment horizontal="left"/>
    </xf>
    <xf numFmtId="167" fontId="32" fillId="4" borderId="0" xfId="0" applyNumberFormat="1" applyFont="1" applyFill="1" applyBorder="1" applyAlignment="1">
      <alignment horizontal="left"/>
    </xf>
    <xf numFmtId="10" fontId="0" fillId="0" borderId="0" xfId="0" applyNumberFormat="1" applyBorder="1" applyAlignment="1">
      <alignment horizontal="left"/>
    </xf>
    <xf numFmtId="10" fontId="0" fillId="0" borderId="12" xfId="0" applyNumberFormat="1" applyBorder="1" applyAlignment="1">
      <alignment horizontal="left"/>
    </xf>
    <xf numFmtId="2" fontId="0" fillId="0" borderId="0" xfId="0" applyNumberFormat="1" applyBorder="1" applyAlignment="1">
      <alignment horizontal="left"/>
    </xf>
    <xf numFmtId="10" fontId="27" fillId="0" borderId="12" xfId="0" applyNumberFormat="1" applyFont="1" applyBorder="1" applyAlignment="1">
      <alignment horizontal="left"/>
    </xf>
    <xf numFmtId="10" fontId="27" fillId="0" borderId="0" xfId="0" applyNumberFormat="1" applyFont="1" applyBorder="1" applyAlignment="1">
      <alignment horizontal="left"/>
    </xf>
    <xf numFmtId="10" fontId="14" fillId="0" borderId="0" xfId="2" applyNumberFormat="1" applyFont="1" applyFill="1" applyBorder="1" applyAlignment="1">
      <alignment horizontal="left"/>
    </xf>
    <xf numFmtId="10" fontId="35" fillId="0" borderId="0" xfId="0" applyNumberFormat="1" applyFont="1" applyBorder="1" applyAlignment="1">
      <alignment horizontal="left"/>
    </xf>
    <xf numFmtId="10" fontId="35" fillId="0" borderId="12" xfId="0" applyNumberFormat="1" applyFont="1" applyBorder="1" applyAlignment="1">
      <alignment horizontal="left"/>
    </xf>
    <xf numFmtId="2" fontId="26" fillId="0" borderId="0" xfId="0" applyNumberFormat="1" applyFont="1" applyBorder="1" applyAlignment="1">
      <alignment horizontal="left"/>
    </xf>
    <xf numFmtId="10" fontId="14" fillId="0" borderId="12" xfId="0" applyNumberFormat="1" applyFont="1" applyBorder="1" applyAlignment="1">
      <alignment horizontal="left"/>
    </xf>
    <xf numFmtId="10" fontId="14" fillId="0" borderId="0" xfId="0" applyNumberFormat="1" applyFont="1" applyBorder="1" applyAlignment="1">
      <alignment horizontal="left"/>
    </xf>
    <xf numFmtId="167" fontId="13" fillId="12" borderId="0" xfId="0" applyFont="1" applyFill="1" applyAlignment="1">
      <alignment horizontal="left"/>
    </xf>
    <xf numFmtId="167" fontId="55" fillId="12" borderId="0" xfId="1" applyNumberFormat="1" applyFont="1" applyFill="1" applyBorder="1" applyAlignment="1" applyProtection="1">
      <alignment wrapText="1"/>
    </xf>
    <xf numFmtId="167" fontId="0" fillId="12" borderId="0" xfId="0" applyNumberFormat="1" applyFill="1"/>
    <xf numFmtId="166" fontId="46" fillId="0" borderId="0" xfId="0" applyNumberFormat="1" applyFont="1" applyFill="1" applyBorder="1" applyAlignment="1">
      <alignment horizontal="left" vertical="top"/>
    </xf>
    <xf numFmtId="167" fontId="0" fillId="0" borderId="0" xfId="0" applyAlignment="1"/>
    <xf numFmtId="10" fontId="14" fillId="0" borderId="0" xfId="2" applyNumberFormat="1" applyFont="1" applyFill="1" applyBorder="1" applyAlignment="1">
      <alignment horizontal="left" vertical="top"/>
    </xf>
    <xf numFmtId="10" fontId="14" fillId="0" borderId="0" xfId="2" applyNumberFormat="1" applyFont="1" applyFill="1" applyBorder="1" applyAlignment="1">
      <alignment horizontal="left" vertical="top" wrapText="1"/>
    </xf>
    <xf numFmtId="167" fontId="0" fillId="0" borderId="0" xfId="0" applyFill="1" applyAlignment="1"/>
    <xf numFmtId="167" fontId="14" fillId="2" borderId="0" xfId="0" applyNumberFormat="1" applyFont="1" applyFill="1" applyBorder="1" applyAlignment="1"/>
    <xf numFmtId="167" fontId="13" fillId="2" borderId="0" xfId="0" applyNumberFormat="1" applyFont="1" applyFill="1" applyAlignment="1"/>
    <xf numFmtId="167" fontId="13" fillId="0" borderId="0" xfId="0" applyNumberFormat="1" applyFont="1" applyFill="1" applyAlignment="1"/>
    <xf numFmtId="167" fontId="0" fillId="0" borderId="0" xfId="0" applyNumberFormat="1" applyFill="1" applyAlignment="1"/>
    <xf numFmtId="167" fontId="14" fillId="0" borderId="0" xfId="0" applyNumberFormat="1" applyFont="1" applyFill="1" applyBorder="1" applyAlignment="1"/>
    <xf numFmtId="167" fontId="62" fillId="0" borderId="0" xfId="0" applyNumberFormat="1" applyFont="1" applyFill="1" applyBorder="1" applyAlignment="1"/>
    <xf numFmtId="167" fontId="14" fillId="14" borderId="0" xfId="0" applyNumberFormat="1" applyFont="1" applyFill="1" applyBorder="1" applyAlignment="1"/>
    <xf numFmtId="167" fontId="62" fillId="0" borderId="0" xfId="0" applyNumberFormat="1" applyFont="1" applyFill="1" applyAlignment="1"/>
    <xf numFmtId="167" fontId="13" fillId="0" borderId="0" xfId="0" applyFont="1" applyBorder="1" applyAlignment="1"/>
    <xf numFmtId="167" fontId="0" fillId="0" borderId="0" xfId="0" applyBorder="1" applyAlignment="1"/>
    <xf numFmtId="167" fontId="14" fillId="0" borderId="10" xfId="0" applyFont="1" applyBorder="1" applyAlignment="1"/>
    <xf numFmtId="167" fontId="13" fillId="0" borderId="10" xfId="0" applyFont="1" applyBorder="1" applyAlignment="1"/>
    <xf numFmtId="167" fontId="27" fillId="0" borderId="12" xfId="0" applyFont="1" applyBorder="1" applyAlignment="1"/>
    <xf numFmtId="167" fontId="27" fillId="0" borderId="0" xfId="0" applyFont="1" applyBorder="1" applyAlignment="1"/>
    <xf numFmtId="10" fontId="27" fillId="0" borderId="0" xfId="0" applyNumberFormat="1" applyFont="1" applyBorder="1" applyAlignment="1"/>
    <xf numFmtId="167" fontId="47" fillId="0" borderId="0" xfId="0" applyFont="1" applyBorder="1" applyAlignment="1"/>
    <xf numFmtId="10" fontId="35" fillId="0" borderId="0" xfId="0" applyNumberFormat="1" applyFont="1" applyBorder="1" applyAlignment="1"/>
    <xf numFmtId="167" fontId="35" fillId="0" borderId="0" xfId="0" applyFont="1" applyBorder="1" applyAlignment="1"/>
    <xf numFmtId="167" fontId="13" fillId="0" borderId="12" xfId="0" applyFont="1" applyBorder="1" applyAlignment="1"/>
    <xf numFmtId="167" fontId="13" fillId="0" borderId="7" xfId="0" applyFont="1" applyBorder="1" applyAlignment="1"/>
    <xf numFmtId="167" fontId="49" fillId="0" borderId="0" xfId="0" applyFont="1" applyBorder="1" applyAlignment="1"/>
    <xf numFmtId="167" fontId="0" fillId="0" borderId="7" xfId="0" applyBorder="1" applyAlignment="1"/>
    <xf numFmtId="10" fontId="49" fillId="0" borderId="0" xfId="0" applyNumberFormat="1" applyFont="1" applyFill="1" applyBorder="1" applyAlignment="1">
      <alignment horizontal="left"/>
    </xf>
    <xf numFmtId="167" fontId="14" fillId="0" borderId="9" xfId="0" applyFont="1" applyFill="1" applyBorder="1" applyAlignment="1">
      <alignment vertical="top"/>
    </xf>
    <xf numFmtId="167" fontId="14" fillId="0" borderId="10" xfId="0" applyFont="1" applyFill="1" applyBorder="1" applyAlignment="1">
      <alignment vertical="top"/>
    </xf>
    <xf numFmtId="167" fontId="14" fillId="0" borderId="10" xfId="0" quotePrefix="1" applyNumberFormat="1" applyFont="1" applyFill="1" applyBorder="1" applyAlignment="1">
      <alignment vertical="top"/>
    </xf>
    <xf numFmtId="167" fontId="13" fillId="0" borderId="1" xfId="0" quotePrefix="1" applyNumberFormat="1" applyFont="1" applyFill="1" applyBorder="1" applyAlignment="1">
      <alignment vertical="top"/>
    </xf>
    <xf numFmtId="167" fontId="14" fillId="0" borderId="10" xfId="0" applyFont="1" applyFill="1" applyBorder="1" applyAlignment="1">
      <alignment horizontal="right" vertical="top"/>
    </xf>
    <xf numFmtId="167" fontId="14" fillId="0" borderId="13" xfId="0" applyFont="1" applyFill="1" applyBorder="1" applyAlignment="1">
      <alignment vertical="top"/>
    </xf>
    <xf numFmtId="167" fontId="14" fillId="0" borderId="12" xfId="0" applyFont="1" applyFill="1" applyBorder="1" applyAlignment="1">
      <alignment vertical="top"/>
    </xf>
    <xf numFmtId="167" fontId="14" fillId="0" borderId="12" xfId="0" applyFont="1" applyFill="1" applyBorder="1" applyAlignment="1">
      <alignment horizontal="right" vertical="top"/>
    </xf>
    <xf numFmtId="167" fontId="13" fillId="0" borderId="12" xfId="0" applyNumberFormat="1" applyFont="1" applyFill="1" applyBorder="1" applyAlignment="1">
      <alignment horizontal="left" vertical="top"/>
    </xf>
    <xf numFmtId="167" fontId="32" fillId="4" borderId="0" xfId="0" applyFont="1" applyFill="1"/>
    <xf numFmtId="167" fontId="32" fillId="0" borderId="0" xfId="0" applyFont="1" applyFill="1"/>
    <xf numFmtId="166" fontId="13" fillId="0" borderId="56" xfId="0" applyNumberFormat="1" applyFont="1" applyFill="1" applyBorder="1" applyAlignment="1">
      <alignment horizontal="left" indent="1"/>
    </xf>
    <xf numFmtId="10" fontId="13" fillId="0" borderId="56" xfId="0" applyNumberFormat="1" applyFont="1" applyFill="1" applyBorder="1" applyAlignment="1">
      <alignment horizontal="left" indent="1"/>
    </xf>
    <xf numFmtId="14" fontId="75" fillId="0" borderId="0" xfId="5" applyNumberFormat="1" applyFont="1" applyFill="1" applyAlignment="1">
      <alignment horizontal="right"/>
    </xf>
    <xf numFmtId="167" fontId="32" fillId="4" borderId="0" xfId="0" applyFont="1" applyFill="1" applyAlignment="1">
      <alignment horizontal="left"/>
    </xf>
    <xf numFmtId="167" fontId="45" fillId="0" borderId="13" xfId="0" applyNumberFormat="1" applyFont="1" applyFill="1" applyBorder="1" applyAlignment="1">
      <alignment horizontal="left" vertical="top"/>
    </xf>
    <xf numFmtId="167" fontId="44" fillId="0" borderId="12" xfId="0" applyNumberFormat="1" applyFont="1" applyFill="1" applyBorder="1" applyAlignment="1">
      <alignment horizontal="left" vertical="top"/>
    </xf>
    <xf numFmtId="167" fontId="45" fillId="0" borderId="12" xfId="0" applyNumberFormat="1" applyFont="1" applyFill="1" applyBorder="1" applyAlignment="1">
      <alignment horizontal="left" vertical="top"/>
    </xf>
    <xf numFmtId="2" fontId="13" fillId="13" borderId="10" xfId="0" applyNumberFormat="1" applyFont="1" applyFill="1" applyBorder="1" applyAlignment="1">
      <alignment horizontal="left" vertical="top"/>
    </xf>
    <xf numFmtId="1" fontId="76" fillId="0" borderId="4" xfId="0" applyNumberFormat="1" applyFont="1" applyFill="1" applyBorder="1" applyAlignment="1">
      <alignment horizontal="left" vertical="top"/>
    </xf>
    <xf numFmtId="1" fontId="76" fillId="0" borderId="0" xfId="0" applyNumberFormat="1" applyFont="1" applyFill="1" applyBorder="1" applyAlignment="1">
      <alignment horizontal="left" vertical="top"/>
    </xf>
    <xf numFmtId="1" fontId="76" fillId="0" borderId="21" xfId="0" applyNumberFormat="1" applyFont="1" applyFill="1" applyBorder="1" applyAlignment="1">
      <alignment horizontal="left" vertical="top"/>
    </xf>
    <xf numFmtId="1" fontId="76" fillId="0" borderId="22" xfId="0" applyNumberFormat="1" applyFont="1" applyBorder="1" applyAlignment="1">
      <alignment vertical="top"/>
    </xf>
    <xf numFmtId="2" fontId="13" fillId="16" borderId="12" xfId="0" applyNumberFormat="1" applyFont="1" applyFill="1" applyBorder="1" applyAlignment="1">
      <alignment horizontal="left" vertical="top"/>
    </xf>
    <xf numFmtId="2" fontId="38" fillId="16" borderId="0" xfId="0" applyNumberFormat="1" applyFont="1" applyFill="1" applyBorder="1" applyAlignment="1">
      <alignment horizontal="left" vertical="top"/>
    </xf>
    <xf numFmtId="2" fontId="13" fillId="16" borderId="0" xfId="0" applyNumberFormat="1" applyFont="1" applyFill="1" applyBorder="1" applyAlignment="1">
      <alignment horizontal="left" vertical="top"/>
    </xf>
    <xf numFmtId="2" fontId="46" fillId="16" borderId="0" xfId="0" applyNumberFormat="1" applyFont="1" applyFill="1" applyBorder="1" applyAlignment="1">
      <alignment horizontal="left" vertical="top"/>
    </xf>
    <xf numFmtId="2" fontId="46" fillId="16" borderId="7" xfId="0" applyNumberFormat="1" applyFont="1" applyFill="1" applyBorder="1" applyAlignment="1">
      <alignment horizontal="left" vertical="top"/>
    </xf>
    <xf numFmtId="2" fontId="13" fillId="16" borderId="25" xfId="0" applyNumberFormat="1" applyFont="1" applyFill="1" applyBorder="1" applyAlignment="1">
      <alignment horizontal="left" vertical="top"/>
    </xf>
    <xf numFmtId="1" fontId="76" fillId="0" borderId="4" xfId="0" applyNumberFormat="1" applyFont="1" applyBorder="1" applyAlignment="1">
      <alignment horizontal="left" vertical="top"/>
    </xf>
    <xf numFmtId="1" fontId="76" fillId="0" borderId="0" xfId="0" applyNumberFormat="1" applyFont="1" applyBorder="1" applyAlignment="1">
      <alignment horizontal="left" vertical="top"/>
    </xf>
    <xf numFmtId="1" fontId="76" fillId="0" borderId="21" xfId="0" applyNumberFormat="1" applyFont="1" applyBorder="1" applyAlignment="1">
      <alignment horizontal="left" vertical="top"/>
    </xf>
    <xf numFmtId="2" fontId="13" fillId="16" borderId="26" xfId="0" applyNumberFormat="1" applyFont="1" applyFill="1" applyBorder="1" applyAlignment="1">
      <alignment horizontal="left" vertical="top"/>
    </xf>
    <xf numFmtId="2" fontId="45" fillId="0" borderId="27" xfId="0" applyNumberFormat="1" applyFont="1" applyFill="1" applyBorder="1" applyAlignment="1">
      <alignment horizontal="left" vertical="top"/>
    </xf>
    <xf numFmtId="2" fontId="44" fillId="0" borderId="28" xfId="0" applyNumberFormat="1" applyFont="1" applyFill="1" applyBorder="1" applyAlignment="1">
      <alignment horizontal="left" vertical="top"/>
    </xf>
    <xf numFmtId="2" fontId="45" fillId="0" borderId="28" xfId="0" applyNumberFormat="1" applyFont="1" applyFill="1" applyBorder="1" applyAlignment="1">
      <alignment horizontal="left" vertical="top"/>
    </xf>
    <xf numFmtId="2" fontId="45" fillId="0" borderId="29" xfId="0" applyNumberFormat="1" applyFont="1" applyFill="1" applyBorder="1" applyAlignment="1">
      <alignment horizontal="left" vertical="top"/>
    </xf>
    <xf numFmtId="167" fontId="13" fillId="0" borderId="4" xfId="0" applyFont="1" applyFill="1" applyBorder="1" applyAlignment="1">
      <alignment horizontal="left" vertical="top" indent="1"/>
    </xf>
    <xf numFmtId="167" fontId="13" fillId="0" borderId="4" xfId="0" applyFont="1" applyFill="1" applyBorder="1" applyAlignment="1">
      <alignment horizontal="left" vertical="top"/>
    </xf>
    <xf numFmtId="167" fontId="13" fillId="0" borderId="0" xfId="0" applyFont="1" applyFill="1" applyBorder="1" applyAlignment="1">
      <alignment horizontal="left" vertical="top"/>
    </xf>
    <xf numFmtId="167" fontId="14" fillId="0" borderId="4" xfId="0" quotePrefix="1" applyFont="1" applyBorder="1" applyAlignment="1">
      <alignment horizontal="left" vertical="top"/>
    </xf>
    <xf numFmtId="167" fontId="14" fillId="0" borderId="0" xfId="0" quotePrefix="1" applyFont="1" applyBorder="1" applyAlignment="1">
      <alignment horizontal="left" vertical="top"/>
    </xf>
    <xf numFmtId="167" fontId="13" fillId="0" borderId="4" xfId="0" quotePrefix="1" applyFont="1" applyBorder="1" applyAlignment="1">
      <alignment horizontal="left" vertical="top"/>
    </xf>
    <xf numFmtId="167" fontId="13" fillId="0" borderId="0" xfId="0" quotePrefix="1" applyFont="1" applyBorder="1" applyAlignment="1">
      <alignment horizontal="left" vertical="top"/>
    </xf>
    <xf numFmtId="165" fontId="47" fillId="0" borderId="0" xfId="0" applyNumberFormat="1" applyFont="1" applyBorder="1" applyAlignment="1">
      <alignment horizontal="left" vertical="top"/>
    </xf>
    <xf numFmtId="167" fontId="13" fillId="3" borderId="13" xfId="0" applyFont="1" applyFill="1" applyBorder="1" applyAlignment="1">
      <alignment horizontal="left" vertical="top"/>
    </xf>
    <xf numFmtId="167" fontId="13" fillId="0" borderId="18" xfId="0" applyFont="1" applyFill="1" applyBorder="1" applyAlignment="1">
      <alignment horizontal="left" vertical="top"/>
    </xf>
    <xf numFmtId="167" fontId="77" fillId="9" borderId="9" xfId="0" applyFont="1" applyFill="1" applyBorder="1" applyAlignment="1">
      <alignment horizontal="left" vertical="top"/>
    </xf>
    <xf numFmtId="167" fontId="27" fillId="0" borderId="30" xfId="0" applyFont="1" applyFill="1" applyBorder="1" applyAlignment="1">
      <alignment horizontal="left" vertical="top"/>
    </xf>
    <xf numFmtId="167" fontId="27" fillId="0" borderId="13" xfId="0" applyFont="1" applyFill="1" applyBorder="1" applyAlignment="1">
      <alignment horizontal="left" vertical="top"/>
    </xf>
    <xf numFmtId="9" fontId="27" fillId="0" borderId="30" xfId="2" applyFont="1" applyFill="1" applyBorder="1" applyAlignment="1">
      <alignment horizontal="left" vertical="top"/>
    </xf>
    <xf numFmtId="9" fontId="27" fillId="0" borderId="6" xfId="2" applyFont="1" applyFill="1" applyBorder="1" applyAlignment="1">
      <alignment horizontal="left" vertical="top"/>
    </xf>
    <xf numFmtId="167" fontId="13" fillId="0" borderId="0" xfId="0" applyFont="1" applyFill="1" applyBorder="1" applyAlignment="1"/>
    <xf numFmtId="10" fontId="25" fillId="0" borderId="2" xfId="2" applyNumberFormat="1" applyFont="1" applyFill="1" applyBorder="1" applyAlignment="1">
      <alignment horizontal="left" vertical="top"/>
    </xf>
    <xf numFmtId="165" fontId="13" fillId="0" borderId="12" xfId="0" applyNumberFormat="1" applyFont="1" applyFill="1" applyBorder="1" applyAlignment="1">
      <alignment horizontal="left" vertical="top"/>
    </xf>
    <xf numFmtId="9" fontId="0" fillId="0" borderId="0" xfId="0" applyNumberFormat="1" applyBorder="1" applyAlignment="1"/>
    <xf numFmtId="9" fontId="0" fillId="0" borderId="0" xfId="0" applyNumberFormat="1" applyBorder="1" applyAlignment="1">
      <alignment horizontal="left"/>
    </xf>
    <xf numFmtId="165" fontId="0" fillId="0" borderId="0" xfId="0" applyNumberFormat="1" applyBorder="1" applyAlignment="1">
      <alignment horizontal="left"/>
    </xf>
    <xf numFmtId="165" fontId="13" fillId="0" borderId="13" xfId="0" applyNumberFormat="1" applyFont="1" applyFill="1" applyBorder="1" applyAlignment="1">
      <alignment horizontal="left" vertical="top"/>
    </xf>
    <xf numFmtId="0" fontId="47" fillId="0" borderId="0" xfId="0" applyNumberFormat="1" applyFont="1" applyBorder="1" applyAlignment="1">
      <alignment horizontal="right" vertical="top"/>
    </xf>
    <xf numFmtId="0" fontId="27" fillId="0" borderId="3" xfId="0" applyNumberFormat="1" applyFont="1" applyBorder="1" applyAlignment="1">
      <alignment vertical="top"/>
    </xf>
    <xf numFmtId="0" fontId="64" fillId="9" borderId="4" xfId="0" applyNumberFormat="1" applyFont="1" applyFill="1" applyBorder="1" applyAlignment="1">
      <alignment horizontal="left" vertical="top"/>
    </xf>
    <xf numFmtId="0" fontId="65" fillId="9" borderId="0" xfId="0" applyNumberFormat="1" applyFont="1" applyFill="1" applyBorder="1" applyAlignment="1">
      <alignment horizontal="left" vertical="top"/>
    </xf>
    <xf numFmtId="0" fontId="65" fillId="9" borderId="4" xfId="0" applyNumberFormat="1" applyFont="1" applyFill="1" applyBorder="1" applyAlignment="1">
      <alignment horizontal="left" vertical="top"/>
    </xf>
    <xf numFmtId="0" fontId="27" fillId="0" borderId="0" xfId="0" applyNumberFormat="1" applyFont="1" applyBorder="1" applyAlignment="1">
      <alignment vertical="top"/>
    </xf>
    <xf numFmtId="0" fontId="47" fillId="0" borderId="0" xfId="0" applyNumberFormat="1" applyFont="1" applyBorder="1" applyAlignment="1">
      <alignment vertical="top"/>
    </xf>
    <xf numFmtId="0" fontId="13" fillId="0" borderId="0" xfId="0" applyNumberFormat="1" applyFont="1" applyFill="1" applyBorder="1" applyAlignment="1">
      <alignment horizontal="left" vertical="top"/>
    </xf>
    <xf numFmtId="0" fontId="13" fillId="0" borderId="5" xfId="0" applyNumberFormat="1" applyFont="1" applyFill="1" applyBorder="1" applyAlignment="1">
      <alignment horizontal="left" vertical="top"/>
    </xf>
    <xf numFmtId="0" fontId="67" fillId="0" borderId="0" xfId="0" applyNumberFormat="1" applyFont="1" applyBorder="1" applyAlignment="1">
      <alignment vertical="top"/>
    </xf>
    <xf numFmtId="0" fontId="13" fillId="0" borderId="0" xfId="0" applyNumberFormat="1" applyFont="1" applyBorder="1" applyAlignment="1">
      <alignment vertical="top"/>
    </xf>
    <xf numFmtId="0" fontId="65" fillId="9" borderId="0" xfId="0" applyNumberFormat="1" applyFont="1" applyFill="1" applyBorder="1" applyAlignment="1">
      <alignment vertical="top"/>
    </xf>
    <xf numFmtId="0" fontId="27" fillId="0" borderId="4" xfId="0" applyNumberFormat="1" applyFont="1" applyBorder="1" applyAlignment="1">
      <alignment vertical="top"/>
    </xf>
    <xf numFmtId="0" fontId="14" fillId="0" borderId="0" xfId="0" applyNumberFormat="1" applyFont="1" applyFill="1" applyBorder="1" applyAlignment="1">
      <alignment horizontal="left" vertical="top"/>
    </xf>
    <xf numFmtId="0" fontId="13" fillId="0" borderId="0" xfId="0" quotePrefix="1" applyNumberFormat="1" applyFont="1" applyFill="1" applyBorder="1" applyAlignment="1">
      <alignment horizontal="left" vertical="top"/>
    </xf>
    <xf numFmtId="0" fontId="65" fillId="9" borderId="4" xfId="0" applyNumberFormat="1" applyFont="1" applyFill="1" applyBorder="1" applyAlignment="1">
      <alignment vertical="top"/>
    </xf>
    <xf numFmtId="0" fontId="27" fillId="0" borderId="3" xfId="0" applyNumberFormat="1" applyFont="1" applyFill="1" applyBorder="1" applyAlignment="1">
      <alignment horizontal="left" vertical="top"/>
    </xf>
    <xf numFmtId="0" fontId="43" fillId="0" borderId="0" xfId="2" quotePrefix="1" applyNumberFormat="1" applyFont="1" applyFill="1" applyBorder="1" applyAlignment="1">
      <alignment horizontal="left" vertical="top"/>
    </xf>
    <xf numFmtId="0" fontId="48" fillId="0" borderId="0" xfId="2" quotePrefix="1" applyNumberFormat="1" applyFont="1" applyFill="1" applyBorder="1" applyAlignment="1">
      <alignment horizontal="left" vertical="top"/>
    </xf>
    <xf numFmtId="0" fontId="42" fillId="0" borderId="0" xfId="2" applyNumberFormat="1" applyFont="1" applyFill="1" applyBorder="1" applyAlignment="1">
      <alignment horizontal="left" vertical="top"/>
    </xf>
    <xf numFmtId="0" fontId="42" fillId="0" borderId="0" xfId="0" applyNumberFormat="1" applyFont="1" applyFill="1" applyBorder="1" applyAlignment="1">
      <alignment horizontal="left" vertical="top"/>
    </xf>
    <xf numFmtId="0" fontId="27" fillId="0" borderId="0" xfId="0" applyNumberFormat="1" applyFont="1" applyFill="1" applyBorder="1" applyAlignment="1">
      <alignment horizontal="left" vertical="top"/>
    </xf>
    <xf numFmtId="0" fontId="0" fillId="0" borderId="0" xfId="0" applyNumberFormat="1" applyBorder="1" applyAlignment="1">
      <alignment horizontal="left" vertical="top"/>
    </xf>
    <xf numFmtId="0" fontId="17" fillId="0" borderId="0" xfId="0" applyNumberFormat="1" applyFont="1" applyBorder="1" applyAlignment="1">
      <alignment horizontal="left" vertical="top"/>
    </xf>
    <xf numFmtId="0" fontId="47" fillId="0" borderId="0" xfId="0" applyNumberFormat="1" applyFont="1" applyBorder="1" applyAlignment="1">
      <alignment horizontal="left" vertical="top"/>
    </xf>
    <xf numFmtId="0" fontId="13" fillId="0" borderId="0" xfId="0" applyNumberFormat="1" applyFont="1" applyFill="1" applyBorder="1" applyAlignment="1">
      <alignment vertical="top"/>
    </xf>
    <xf numFmtId="0" fontId="13" fillId="0" borderId="54" xfId="0" applyNumberFormat="1" applyFont="1" applyFill="1" applyBorder="1" applyAlignment="1">
      <alignment horizontal="right" vertical="top"/>
    </xf>
    <xf numFmtId="0" fontId="13" fillId="0" borderId="54" xfId="0" applyNumberFormat="1" applyFont="1" applyFill="1" applyBorder="1" applyAlignment="1">
      <alignment vertical="top"/>
    </xf>
    <xf numFmtId="0" fontId="25" fillId="0" borderId="0" xfId="0" applyNumberFormat="1" applyFont="1" applyBorder="1" applyAlignment="1">
      <alignment vertical="top"/>
    </xf>
    <xf numFmtId="0" fontId="13" fillId="0" borderId="4" xfId="0" applyNumberFormat="1" applyFont="1" applyFill="1" applyBorder="1" applyAlignment="1">
      <alignment horizontal="left" vertical="top"/>
    </xf>
    <xf numFmtId="0" fontId="13" fillId="0" borderId="5" xfId="0" applyNumberFormat="1" applyFont="1" applyFill="1" applyBorder="1" applyAlignment="1">
      <alignment horizontal="right" vertical="top"/>
    </xf>
    <xf numFmtId="0" fontId="67" fillId="0" borderId="0" xfId="0" applyNumberFormat="1" applyFont="1" applyFill="1" applyBorder="1" applyAlignment="1">
      <alignment horizontal="right" vertical="top"/>
    </xf>
    <xf numFmtId="0" fontId="47" fillId="0" borderId="0" xfId="0" applyNumberFormat="1" applyFont="1" applyFill="1" applyBorder="1" applyAlignment="1">
      <alignment horizontal="left" vertical="top"/>
    </xf>
    <xf numFmtId="0" fontId="13" fillId="0" borderId="0" xfId="0" applyNumberFormat="1" applyFont="1" applyFill="1" applyBorder="1" applyAlignment="1">
      <alignment horizontal="right" vertical="top"/>
    </xf>
    <xf numFmtId="0" fontId="13" fillId="0" borderId="4" xfId="0" applyNumberFormat="1" applyFont="1" applyBorder="1" applyAlignment="1">
      <alignment vertical="top"/>
    </xf>
    <xf numFmtId="0" fontId="47" fillId="0" borderId="0" xfId="2" applyNumberFormat="1" applyFont="1" applyBorder="1" applyAlignment="1">
      <alignment horizontal="left" vertical="top"/>
    </xf>
    <xf numFmtId="0" fontId="13" fillId="0" borderId="0" xfId="0" applyNumberFormat="1" applyFont="1" applyBorder="1" applyAlignment="1">
      <alignment horizontal="left" vertical="top" wrapText="1"/>
    </xf>
    <xf numFmtId="0" fontId="0" fillId="0" borderId="0" xfId="0" applyNumberFormat="1" applyBorder="1" applyAlignment="1">
      <alignment vertical="top"/>
    </xf>
    <xf numFmtId="0" fontId="0" fillId="0" borderId="0" xfId="0" applyNumberFormat="1" applyFill="1" applyBorder="1" applyAlignment="1">
      <alignment vertical="top"/>
    </xf>
    <xf numFmtId="0" fontId="64" fillId="9" borderId="0" xfId="0" applyNumberFormat="1" applyFont="1" applyFill="1" applyAlignment="1">
      <alignment horizontal="left"/>
    </xf>
    <xf numFmtId="0" fontId="64" fillId="9" borderId="0" xfId="0" applyNumberFormat="1" applyFont="1" applyFill="1" applyBorder="1" applyAlignment="1">
      <alignment horizontal="left"/>
    </xf>
    <xf numFmtId="0" fontId="78" fillId="9" borderId="9" xfId="0" applyNumberFormat="1" applyFont="1" applyFill="1" applyBorder="1"/>
    <xf numFmtId="0" fontId="79" fillId="9" borderId="1" xfId="0" applyNumberFormat="1" applyFont="1" applyFill="1" applyBorder="1"/>
    <xf numFmtId="0" fontId="79" fillId="0" borderId="12" xfId="0" applyNumberFormat="1" applyFont="1" applyFill="1" applyBorder="1" applyAlignment="1">
      <alignment horizontal="left"/>
    </xf>
    <xf numFmtId="0" fontId="78" fillId="0" borderId="9" xfId="0" applyNumberFormat="1" applyFont="1" applyFill="1" applyBorder="1"/>
    <xf numFmtId="0" fontId="79" fillId="0" borderId="1" xfId="0" applyNumberFormat="1" applyFont="1" applyFill="1" applyBorder="1"/>
    <xf numFmtId="0" fontId="27" fillId="0" borderId="39" xfId="0" applyNumberFormat="1" applyFont="1" applyFill="1" applyBorder="1" applyAlignment="1">
      <alignment horizontal="left"/>
    </xf>
    <xf numFmtId="0" fontId="27" fillId="0" borderId="12" xfId="0" applyNumberFormat="1" applyFont="1" applyFill="1" applyBorder="1" applyAlignment="1">
      <alignment horizontal="left"/>
    </xf>
    <xf numFmtId="0" fontId="27" fillId="0" borderId="14" xfId="0" applyNumberFormat="1" applyFont="1" applyFill="1" applyBorder="1" applyAlignment="1">
      <alignment horizontal="left"/>
    </xf>
    <xf numFmtId="2" fontId="45" fillId="0" borderId="5" xfId="0" applyNumberFormat="1" applyFont="1" applyFill="1" applyBorder="1" applyAlignment="1">
      <alignment horizontal="left" vertical="top"/>
    </xf>
    <xf numFmtId="2" fontId="45" fillId="0" borderId="8" xfId="0" applyNumberFormat="1" applyFont="1" applyFill="1" applyBorder="1" applyAlignment="1">
      <alignment horizontal="left" vertical="top"/>
    </xf>
    <xf numFmtId="167" fontId="45" fillId="0" borderId="14" xfId="0" applyNumberFormat="1" applyFont="1" applyFill="1" applyBorder="1" applyAlignment="1">
      <alignment horizontal="left" vertical="top"/>
    </xf>
    <xf numFmtId="1" fontId="76" fillId="0" borderId="0" xfId="0" applyNumberFormat="1" applyFont="1" applyBorder="1" applyAlignment="1">
      <alignment vertical="top"/>
    </xf>
    <xf numFmtId="0" fontId="79" fillId="0" borderId="3" xfId="0" applyNumberFormat="1" applyFont="1" applyFill="1" applyBorder="1"/>
    <xf numFmtId="0" fontId="79" fillId="0" borderId="11" xfId="0" applyNumberFormat="1" applyFont="1" applyFill="1" applyBorder="1"/>
    <xf numFmtId="0" fontId="79" fillId="0" borderId="46" xfId="0" applyNumberFormat="1" applyFont="1" applyFill="1" applyBorder="1"/>
    <xf numFmtId="0" fontId="79" fillId="9" borderId="46" xfId="0" applyNumberFormat="1" applyFont="1" applyFill="1" applyBorder="1"/>
    <xf numFmtId="0" fontId="79" fillId="9" borderId="3" xfId="0" applyNumberFormat="1" applyFont="1" applyFill="1" applyBorder="1"/>
    <xf numFmtId="0" fontId="79" fillId="9" borderId="11" xfId="0" applyNumberFormat="1" applyFont="1" applyFill="1" applyBorder="1"/>
    <xf numFmtId="167" fontId="0" fillId="0" borderId="6" xfId="0" applyBorder="1" applyAlignment="1">
      <alignment vertical="top"/>
    </xf>
    <xf numFmtId="167" fontId="0" fillId="9" borderId="11" xfId="0" applyFill="1" applyBorder="1" applyAlignment="1">
      <alignment vertical="top"/>
    </xf>
    <xf numFmtId="167" fontId="13" fillId="0" borderId="10" xfId="0" applyNumberFormat="1" applyFont="1" applyFill="1" applyBorder="1" applyAlignment="1">
      <alignment horizontal="left" vertical="top"/>
    </xf>
    <xf numFmtId="1" fontId="76" fillId="0" borderId="11" xfId="0" applyNumberFormat="1" applyFont="1" applyBorder="1" applyAlignment="1">
      <alignment vertical="top"/>
    </xf>
    <xf numFmtId="0" fontId="27" fillId="0" borderId="4" xfId="0" applyNumberFormat="1" applyFont="1" applyFill="1" applyBorder="1" applyAlignment="1">
      <alignment horizontal="left" vertical="top"/>
    </xf>
    <xf numFmtId="0" fontId="26" fillId="0" borderId="3" xfId="0" applyNumberFormat="1" applyFont="1" applyFill="1" applyBorder="1" applyAlignment="1">
      <alignment vertical="top"/>
    </xf>
    <xf numFmtId="0" fontId="13" fillId="0" borderId="5" xfId="0" quotePrefix="1" applyNumberFormat="1" applyFont="1" applyFill="1" applyBorder="1" applyAlignment="1">
      <alignment horizontal="left" vertical="top"/>
    </xf>
    <xf numFmtId="0" fontId="42" fillId="0" borderId="4" xfId="0" applyNumberFormat="1" applyFont="1" applyFill="1" applyBorder="1" applyAlignment="1">
      <alignment horizontal="left" vertical="top"/>
    </xf>
    <xf numFmtId="0" fontId="26" fillId="0" borderId="0" xfId="0" applyNumberFormat="1" applyFont="1" applyFill="1" applyBorder="1" applyAlignment="1">
      <alignment vertical="top"/>
    </xf>
    <xf numFmtId="1" fontId="27" fillId="0" borderId="5" xfId="2" applyNumberFormat="1" applyFont="1" applyFill="1" applyBorder="1" applyAlignment="1">
      <alignment horizontal="left" vertical="top"/>
    </xf>
    <xf numFmtId="0" fontId="78" fillId="0" borderId="46" xfId="0" applyNumberFormat="1" applyFont="1" applyBorder="1" applyAlignment="1">
      <alignment horizontal="left"/>
    </xf>
    <xf numFmtId="0" fontId="35" fillId="0" borderId="4" xfId="2" applyNumberFormat="1" applyFont="1" applyFill="1" applyBorder="1" applyAlignment="1">
      <alignment horizontal="left" vertical="top"/>
    </xf>
    <xf numFmtId="0" fontId="35" fillId="0" borderId="0" xfId="2" applyNumberFormat="1" applyFont="1" applyFill="1" applyBorder="1" applyAlignment="1">
      <alignment horizontal="left" vertical="top"/>
    </xf>
    <xf numFmtId="2" fontId="42" fillId="0" borderId="10" xfId="0" applyNumberFormat="1" applyFont="1" applyFill="1" applyBorder="1" applyAlignment="1">
      <alignment horizontal="left" vertical="top"/>
    </xf>
    <xf numFmtId="2" fontId="60" fillId="0" borderId="10" xfId="0" applyNumberFormat="1" applyFont="1" applyFill="1" applyBorder="1" applyAlignment="1">
      <alignment horizontal="left" vertical="top"/>
    </xf>
    <xf numFmtId="2" fontId="47" fillId="0" borderId="1" xfId="0" applyNumberFormat="1" applyFont="1" applyFill="1" applyBorder="1" applyAlignment="1">
      <alignment horizontal="left" vertical="top"/>
    </xf>
    <xf numFmtId="2" fontId="47" fillId="0" borderId="9" xfId="0" applyNumberFormat="1" applyFont="1" applyFill="1" applyBorder="1" applyAlignment="1">
      <alignment horizontal="left" vertical="top"/>
    </xf>
    <xf numFmtId="2" fontId="47" fillId="0" borderId="10" xfId="0" applyNumberFormat="1" applyFont="1" applyFill="1" applyBorder="1" applyAlignment="1">
      <alignment horizontal="left" vertical="top"/>
    </xf>
    <xf numFmtId="167" fontId="47" fillId="0" borderId="9" xfId="0" applyFont="1" applyFill="1" applyBorder="1" applyAlignment="1">
      <alignment horizontal="right" vertical="top"/>
    </xf>
    <xf numFmtId="167" fontId="47" fillId="0" borderId="10" xfId="0" applyFont="1" applyFill="1" applyBorder="1" applyAlignment="1">
      <alignment horizontal="left" vertical="top"/>
    </xf>
    <xf numFmtId="167" fontId="47" fillId="0" borderId="1" xfId="0" applyNumberFormat="1" applyFont="1" applyFill="1" applyBorder="1" applyAlignment="1">
      <alignment horizontal="left" vertical="top"/>
    </xf>
    <xf numFmtId="10" fontId="45" fillId="0" borderId="13" xfId="2" applyNumberFormat="1" applyFont="1" applyFill="1" applyBorder="1" applyAlignment="1">
      <alignment horizontal="left" vertical="top"/>
    </xf>
    <xf numFmtId="10" fontId="44" fillId="0" borderId="12" xfId="0" applyNumberFormat="1" applyFont="1" applyFill="1" applyBorder="1" applyAlignment="1">
      <alignment horizontal="left" vertical="top"/>
    </xf>
    <xf numFmtId="10" fontId="45" fillId="0" borderId="12" xfId="0" applyNumberFormat="1" applyFont="1" applyFill="1" applyBorder="1" applyAlignment="1">
      <alignment horizontal="left" vertical="top"/>
    </xf>
    <xf numFmtId="10" fontId="13" fillId="16" borderId="12" xfId="0" applyNumberFormat="1" applyFont="1" applyFill="1" applyBorder="1" applyAlignment="1">
      <alignment horizontal="left" vertical="top"/>
    </xf>
    <xf numFmtId="10" fontId="44" fillId="0" borderId="4" xfId="0" applyNumberFormat="1" applyFont="1" applyFill="1" applyBorder="1" applyAlignment="1">
      <alignment horizontal="left" vertical="top"/>
    </xf>
    <xf numFmtId="10" fontId="44" fillId="0" borderId="0" xfId="0" applyNumberFormat="1" applyFont="1" applyFill="1" applyBorder="1" applyAlignment="1">
      <alignment horizontal="left" vertical="top"/>
    </xf>
    <xf numFmtId="10" fontId="38" fillId="16" borderId="0" xfId="0" applyNumberFormat="1" applyFont="1" applyFill="1" applyBorder="1" applyAlignment="1">
      <alignment horizontal="left" vertical="top"/>
    </xf>
    <xf numFmtId="10" fontId="45" fillId="0" borderId="4" xfId="0" applyNumberFormat="1" applyFont="1" applyFill="1" applyBorder="1" applyAlignment="1">
      <alignment horizontal="left" vertical="top"/>
    </xf>
    <xf numFmtId="10" fontId="45" fillId="0" borderId="0" xfId="0" applyNumberFormat="1" applyFont="1" applyFill="1" applyBorder="1" applyAlignment="1">
      <alignment horizontal="left" vertical="top"/>
    </xf>
    <xf numFmtId="10" fontId="13" fillId="16" borderId="0" xfId="0" applyNumberFormat="1" applyFont="1" applyFill="1" applyBorder="1" applyAlignment="1">
      <alignment horizontal="left" vertical="top"/>
    </xf>
    <xf numFmtId="10" fontId="46" fillId="0" borderId="4" xfId="0" applyNumberFormat="1" applyFont="1" applyFill="1" applyBorder="1" applyAlignment="1">
      <alignment horizontal="left" vertical="top"/>
    </xf>
    <xf numFmtId="10" fontId="46" fillId="0" borderId="0" xfId="0" applyNumberFormat="1" applyFont="1" applyFill="1" applyBorder="1" applyAlignment="1">
      <alignment horizontal="left" vertical="top"/>
    </xf>
    <xf numFmtId="10" fontId="46" fillId="16" borderId="0" xfId="0" applyNumberFormat="1" applyFont="1" applyFill="1" applyBorder="1" applyAlignment="1">
      <alignment horizontal="left" vertical="top"/>
    </xf>
    <xf numFmtId="10" fontId="46" fillId="0" borderId="6" xfId="0" applyNumberFormat="1" applyFont="1" applyFill="1" applyBorder="1" applyAlignment="1">
      <alignment horizontal="left" vertical="top"/>
    </xf>
    <xf numFmtId="10" fontId="44" fillId="0" borderId="7" xfId="0" applyNumberFormat="1" applyFont="1" applyFill="1" applyBorder="1" applyAlignment="1">
      <alignment horizontal="left" vertical="top"/>
    </xf>
    <xf numFmtId="10" fontId="46" fillId="0" borderId="7" xfId="0" applyNumberFormat="1" applyFont="1" applyFill="1" applyBorder="1" applyAlignment="1">
      <alignment horizontal="left" vertical="top"/>
    </xf>
    <xf numFmtId="10" fontId="46" fillId="16" borderId="7" xfId="0" applyNumberFormat="1" applyFont="1" applyFill="1" applyBorder="1" applyAlignment="1">
      <alignment horizontal="left" vertical="top"/>
    </xf>
    <xf numFmtId="10" fontId="45" fillId="0" borderId="14" xfId="0" applyNumberFormat="1" applyFont="1" applyFill="1" applyBorder="1" applyAlignment="1">
      <alignment horizontal="left" vertical="top"/>
    </xf>
    <xf numFmtId="10" fontId="44" fillId="0" borderId="5" xfId="0" applyNumberFormat="1" applyFont="1" applyFill="1" applyBorder="1" applyAlignment="1">
      <alignment horizontal="left" vertical="top"/>
    </xf>
    <xf numFmtId="10" fontId="45" fillId="0" borderId="5" xfId="0" applyNumberFormat="1" applyFont="1" applyFill="1" applyBorder="1" applyAlignment="1">
      <alignment horizontal="left" vertical="top"/>
    </xf>
    <xf numFmtId="0" fontId="35" fillId="0" borderId="5" xfId="2" applyNumberFormat="1" applyFont="1" applyFill="1" applyBorder="1" applyAlignment="1">
      <alignment horizontal="left" vertical="top"/>
    </xf>
    <xf numFmtId="9" fontId="79" fillId="16" borderId="58" xfId="2" applyFont="1" applyFill="1" applyBorder="1" applyAlignment="1">
      <alignment horizontal="left"/>
    </xf>
    <xf numFmtId="9" fontId="79" fillId="16" borderId="41" xfId="2" applyFont="1" applyFill="1" applyBorder="1" applyAlignment="1">
      <alignment horizontal="left"/>
    </xf>
    <xf numFmtId="9" fontId="79" fillId="16" borderId="59" xfId="2" applyFont="1" applyFill="1" applyBorder="1" applyAlignment="1">
      <alignment horizontal="left"/>
    </xf>
    <xf numFmtId="2" fontId="27" fillId="0" borderId="37" xfId="0" applyNumberFormat="1" applyFont="1" applyFill="1" applyBorder="1" applyAlignment="1">
      <alignment horizontal="left" vertical="top"/>
    </xf>
    <xf numFmtId="9" fontId="42" fillId="0" borderId="16" xfId="2" applyFont="1" applyFill="1" applyBorder="1" applyAlignment="1">
      <alignment horizontal="left" vertical="top"/>
    </xf>
    <xf numFmtId="9" fontId="42" fillId="0" borderId="34" xfId="2" applyFont="1" applyFill="1" applyBorder="1" applyAlignment="1">
      <alignment horizontal="left" vertical="top"/>
    </xf>
    <xf numFmtId="9" fontId="42" fillId="0" borderId="7" xfId="2" applyFont="1" applyFill="1" applyBorder="1" applyAlignment="1">
      <alignment horizontal="left" vertical="top"/>
    </xf>
    <xf numFmtId="9" fontId="42" fillId="0" borderId="8" xfId="2" applyFont="1" applyFill="1" applyBorder="1" applyAlignment="1">
      <alignment horizontal="left" vertical="top"/>
    </xf>
    <xf numFmtId="167" fontId="42" fillId="0" borderId="12" xfId="0" applyFont="1" applyFill="1" applyBorder="1" applyAlignment="1">
      <alignment horizontal="left" vertical="top"/>
    </xf>
    <xf numFmtId="167" fontId="42" fillId="0" borderId="14" xfId="0" applyFont="1" applyFill="1" applyBorder="1" applyAlignment="1">
      <alignment horizontal="left" vertical="top"/>
    </xf>
    <xf numFmtId="9" fontId="42" fillId="0" borderId="17" xfId="2" applyFont="1" applyFill="1" applyBorder="1" applyAlignment="1">
      <alignment horizontal="left" vertical="top"/>
    </xf>
    <xf numFmtId="9" fontId="42" fillId="0" borderId="24" xfId="2" applyFont="1" applyFill="1" applyBorder="1" applyAlignment="1">
      <alignment horizontal="left" vertical="top"/>
    </xf>
    <xf numFmtId="167" fontId="42" fillId="0" borderId="19" xfId="0" applyFont="1" applyFill="1" applyBorder="1" applyAlignment="1">
      <alignment horizontal="left" vertical="top"/>
    </xf>
    <xf numFmtId="167" fontId="42" fillId="0" borderId="23" xfId="0" applyFont="1" applyFill="1" applyBorder="1" applyAlignment="1">
      <alignment horizontal="left" vertical="top"/>
    </xf>
    <xf numFmtId="2" fontId="42" fillId="0" borderId="17" xfId="0" applyNumberFormat="1" applyFont="1" applyFill="1" applyBorder="1" applyAlignment="1">
      <alignment horizontal="left" vertical="top"/>
    </xf>
    <xf numFmtId="2" fontId="42" fillId="0" borderId="37" xfId="0" applyNumberFormat="1" applyFont="1" applyFill="1" applyBorder="1" applyAlignment="1">
      <alignment horizontal="left" vertical="top"/>
    </xf>
    <xf numFmtId="2" fontId="42" fillId="0" borderId="40" xfId="0" applyNumberFormat="1" applyFont="1" applyFill="1" applyBorder="1" applyAlignment="1">
      <alignment horizontal="left" vertical="top"/>
    </xf>
    <xf numFmtId="0" fontId="36" fillId="0" borderId="0" xfId="0" applyNumberFormat="1" applyFont="1" applyBorder="1" applyAlignment="1">
      <alignment horizontal="left" vertical="top"/>
    </xf>
    <xf numFmtId="0" fontId="27" fillId="0" borderId="0" xfId="0" applyNumberFormat="1" applyFont="1" applyBorder="1" applyAlignment="1">
      <alignment horizontal="left" vertical="top"/>
    </xf>
    <xf numFmtId="0" fontId="37" fillId="0" borderId="0" xfId="0" applyNumberFormat="1" applyFont="1" applyBorder="1" applyAlignment="1">
      <alignment horizontal="left" vertical="top" wrapText="1"/>
    </xf>
    <xf numFmtId="167" fontId="13" fillId="0" borderId="4" xfId="0" applyFont="1" applyFill="1" applyBorder="1" applyAlignment="1">
      <alignment horizontal="left" vertical="top" indent="1"/>
    </xf>
    <xf numFmtId="167" fontId="13" fillId="0" borderId="0" xfId="0" applyFont="1" applyFill="1" applyBorder="1" applyAlignment="1">
      <alignment horizontal="left" vertical="top" indent="1"/>
    </xf>
    <xf numFmtId="167" fontId="13" fillId="0" borderId="4" xfId="0" applyFont="1" applyFill="1" applyBorder="1" applyAlignment="1">
      <alignment horizontal="left" vertical="top"/>
    </xf>
    <xf numFmtId="167" fontId="13" fillId="0" borderId="0" xfId="0" applyFont="1" applyFill="1" applyBorder="1" applyAlignment="1">
      <alignment horizontal="left" vertical="top"/>
    </xf>
    <xf numFmtId="167" fontId="14" fillId="0" borderId="4" xfId="0" quotePrefix="1" applyFont="1" applyBorder="1" applyAlignment="1">
      <alignment horizontal="left" vertical="top"/>
    </xf>
    <xf numFmtId="167" fontId="14" fillId="0" borderId="0" xfId="0" quotePrefix="1" applyFont="1" applyBorder="1" applyAlignment="1">
      <alignment horizontal="left" vertical="top"/>
    </xf>
    <xf numFmtId="167" fontId="13" fillId="0" borderId="4" xfId="0" quotePrefix="1" applyFont="1" applyBorder="1" applyAlignment="1">
      <alignment horizontal="left" vertical="top"/>
    </xf>
    <xf numFmtId="167" fontId="13" fillId="0" borderId="0" xfId="0" quotePrefix="1" applyFont="1" applyBorder="1" applyAlignment="1">
      <alignment horizontal="left" vertical="top"/>
    </xf>
    <xf numFmtId="167" fontId="13" fillId="0" borderId="4" xfId="0" applyFont="1" applyFill="1" applyBorder="1" applyAlignment="1">
      <alignment horizontal="left" vertical="top"/>
    </xf>
    <xf numFmtId="167" fontId="13" fillId="0" borderId="0" xfId="0" applyFont="1" applyFill="1" applyBorder="1" applyAlignment="1">
      <alignment horizontal="left" vertical="top"/>
    </xf>
    <xf numFmtId="0" fontId="47" fillId="0" borderId="0" xfId="0" applyNumberFormat="1" applyFont="1" applyFill="1" applyBorder="1" applyAlignment="1">
      <alignment vertical="top"/>
    </xf>
    <xf numFmtId="0" fontId="47" fillId="0" borderId="0" xfId="0" applyNumberFormat="1" applyFont="1" applyBorder="1" applyAlignment="1">
      <alignment horizontal="left"/>
    </xf>
    <xf numFmtId="167" fontId="13" fillId="10" borderId="47" xfId="0" applyFont="1" applyFill="1" applyBorder="1" applyAlignment="1">
      <alignment horizontal="left" vertical="top"/>
    </xf>
    <xf numFmtId="167" fontId="13" fillId="10" borderId="10" xfId="0" applyFont="1" applyFill="1" applyBorder="1" applyAlignment="1">
      <alignment vertical="top"/>
    </xf>
    <xf numFmtId="167" fontId="25" fillId="0" borderId="4" xfId="0" applyFont="1" applyFill="1" applyBorder="1" applyAlignment="1">
      <alignment horizontal="left" vertical="top"/>
    </xf>
    <xf numFmtId="10" fontId="25" fillId="0" borderId="4" xfId="2" quotePrefix="1" applyNumberFormat="1" applyFont="1" applyFill="1" applyBorder="1" applyAlignment="1">
      <alignment horizontal="left" vertical="top"/>
    </xf>
    <xf numFmtId="10" fontId="42" fillId="0" borderId="2" xfId="0" applyNumberFormat="1" applyFont="1" applyFill="1" applyBorder="1" applyAlignment="1">
      <alignment horizontal="left" vertical="top"/>
    </xf>
    <xf numFmtId="10" fontId="42" fillId="0" borderId="10" xfId="0" applyNumberFormat="1" applyFont="1" applyFill="1" applyBorder="1" applyAlignment="1">
      <alignment horizontal="left" vertical="top"/>
    </xf>
    <xf numFmtId="10" fontId="42" fillId="0" borderId="1" xfId="0" applyNumberFormat="1" applyFont="1" applyFill="1" applyBorder="1" applyAlignment="1">
      <alignment horizontal="left" vertical="top"/>
    </xf>
    <xf numFmtId="9" fontId="42" fillId="0" borderId="2" xfId="0" applyNumberFormat="1" applyFont="1" applyFill="1" applyBorder="1" applyAlignment="1">
      <alignment horizontal="left" vertical="top"/>
    </xf>
    <xf numFmtId="10" fontId="42" fillId="0" borderId="5" xfId="0" applyNumberFormat="1" applyFont="1" applyFill="1" applyBorder="1" applyAlignment="1">
      <alignment horizontal="left" vertical="top"/>
    </xf>
    <xf numFmtId="2" fontId="42" fillId="0" borderId="2" xfId="0" applyNumberFormat="1" applyFont="1" applyFill="1" applyBorder="1" applyAlignment="1">
      <alignment horizontal="left" vertical="top"/>
    </xf>
    <xf numFmtId="10" fontId="80" fillId="0" borderId="0" xfId="0" applyNumberFormat="1" applyFont="1" applyFill="1" applyBorder="1" applyAlignment="1">
      <alignment horizontal="left" vertical="top"/>
    </xf>
    <xf numFmtId="10" fontId="80" fillId="0" borderId="5" xfId="0" applyNumberFormat="1" applyFont="1" applyFill="1" applyBorder="1" applyAlignment="1">
      <alignment horizontal="left" vertical="top"/>
    </xf>
    <xf numFmtId="10" fontId="26" fillId="0" borderId="2" xfId="2" applyNumberFormat="1" applyFont="1" applyFill="1" applyBorder="1" applyAlignment="1">
      <alignment horizontal="left" vertical="top"/>
    </xf>
    <xf numFmtId="166" fontId="42" fillId="0" borderId="2" xfId="2" applyNumberFormat="1" applyFont="1" applyFill="1" applyBorder="1" applyAlignment="1">
      <alignment horizontal="left" vertical="top"/>
    </xf>
    <xf numFmtId="0" fontId="13" fillId="0" borderId="4" xfId="2" applyNumberFormat="1" applyFont="1" applyFill="1" applyBorder="1" applyAlignment="1">
      <alignment horizontal="left" vertical="top"/>
    </xf>
    <xf numFmtId="0" fontId="13" fillId="0" borderId="0" xfId="2" applyNumberFormat="1" applyFont="1" applyFill="1" applyBorder="1" applyAlignment="1">
      <alignment horizontal="left" vertical="top"/>
    </xf>
    <xf numFmtId="10" fontId="26" fillId="0" borderId="4" xfId="0" applyNumberFormat="1" applyFont="1" applyFill="1" applyBorder="1" applyAlignment="1">
      <alignment horizontal="left" vertical="top"/>
    </xf>
    <xf numFmtId="0" fontId="42" fillId="0" borderId="8" xfId="0" applyNumberFormat="1" applyFont="1" applyFill="1" applyBorder="1" applyAlignment="1">
      <alignment horizontal="left" vertical="top"/>
    </xf>
    <xf numFmtId="9" fontId="13" fillId="0" borderId="4" xfId="0" applyNumberFormat="1" applyFont="1" applyFill="1" applyBorder="1" applyAlignment="1">
      <alignment horizontal="left" vertical="top"/>
    </xf>
    <xf numFmtId="10" fontId="13" fillId="0" borderId="6" xfId="2" applyNumberFormat="1" applyFont="1" applyFill="1" applyBorder="1" applyAlignment="1">
      <alignment horizontal="left" vertical="top"/>
    </xf>
    <xf numFmtId="10" fontId="13" fillId="0" borderId="7" xfId="2" applyNumberFormat="1" applyFont="1" applyFill="1" applyBorder="1" applyAlignment="1">
      <alignment horizontal="left" vertical="top"/>
    </xf>
    <xf numFmtId="167" fontId="13" fillId="0" borderId="8" xfId="0" applyFont="1" applyFill="1" applyBorder="1" applyAlignment="1">
      <alignment horizontal="left" vertical="top"/>
    </xf>
    <xf numFmtId="10" fontId="14" fillId="0" borderId="14" xfId="2" applyNumberFormat="1" applyFont="1" applyFill="1" applyBorder="1" applyAlignment="1">
      <alignment horizontal="left" vertical="top"/>
    </xf>
    <xf numFmtId="10" fontId="13" fillId="0" borderId="61" xfId="0" applyNumberFormat="1" applyFont="1" applyBorder="1" applyAlignment="1">
      <alignment horizontal="left" vertical="top"/>
    </xf>
    <xf numFmtId="10" fontId="13" fillId="0" borderId="62" xfId="0" applyNumberFormat="1" applyFont="1" applyBorder="1" applyAlignment="1">
      <alignment horizontal="left" vertical="top"/>
    </xf>
    <xf numFmtId="0" fontId="13" fillId="0" borderId="44" xfId="0" quotePrefix="1" applyNumberFormat="1" applyFont="1" applyFill="1" applyBorder="1" applyAlignment="1">
      <alignment horizontal="left" vertical="top"/>
    </xf>
    <xf numFmtId="167" fontId="15" fillId="0" borderId="14" xfId="0" applyFont="1" applyBorder="1" applyAlignment="1">
      <alignment vertical="top"/>
    </xf>
    <xf numFmtId="167" fontId="15" fillId="0" borderId="13" xfId="0" applyFont="1" applyBorder="1" applyAlignment="1">
      <alignment vertical="top"/>
    </xf>
    <xf numFmtId="10" fontId="13" fillId="0" borderId="4" xfId="0" applyNumberFormat="1" applyFont="1" applyBorder="1" applyAlignment="1">
      <alignment horizontal="left" vertical="top"/>
    </xf>
    <xf numFmtId="10" fontId="14" fillId="0" borderId="0" xfId="0" applyNumberFormat="1" applyFont="1" applyBorder="1" applyAlignment="1">
      <alignment horizontal="left" vertical="top"/>
    </xf>
    <xf numFmtId="10" fontId="13" fillId="0" borderId="0" xfId="0" applyNumberFormat="1" applyFont="1" applyBorder="1" applyAlignment="1">
      <alignment horizontal="left" vertical="top"/>
    </xf>
    <xf numFmtId="10" fontId="14" fillId="0" borderId="4" xfId="2" applyNumberFormat="1" applyFont="1" applyBorder="1" applyAlignment="1">
      <alignment horizontal="left" vertical="top"/>
    </xf>
    <xf numFmtId="10" fontId="14" fillId="0" borderId="0" xfId="2" applyNumberFormat="1" applyFont="1" applyBorder="1" applyAlignment="1">
      <alignment horizontal="left" vertical="top"/>
    </xf>
    <xf numFmtId="10" fontId="13" fillId="0" borderId="0" xfId="2" applyNumberFormat="1" applyFont="1" applyBorder="1" applyAlignment="1">
      <alignment horizontal="left" vertical="top"/>
    </xf>
    <xf numFmtId="10" fontId="28" fillId="0" borderId="4" xfId="2" applyNumberFormat="1" applyFont="1" applyFill="1" applyBorder="1" applyAlignment="1">
      <alignment horizontal="left" vertical="top"/>
    </xf>
    <xf numFmtId="10" fontId="28" fillId="0" borderId="0" xfId="2" applyNumberFormat="1" applyFont="1" applyFill="1" applyBorder="1" applyAlignment="1">
      <alignment horizontal="left" vertical="top"/>
    </xf>
    <xf numFmtId="10" fontId="28" fillId="0" borderId="6" xfId="2" applyNumberFormat="1" applyFont="1" applyFill="1" applyBorder="1" applyAlignment="1">
      <alignment horizontal="left" vertical="top"/>
    </xf>
    <xf numFmtId="10" fontId="28" fillId="0" borderId="7" xfId="2" applyNumberFormat="1" applyFont="1" applyFill="1" applyBorder="1" applyAlignment="1">
      <alignment horizontal="left" vertical="top"/>
    </xf>
    <xf numFmtId="165" fontId="28" fillId="0" borderId="13" xfId="0" applyNumberFormat="1" applyFont="1" applyFill="1" applyBorder="1" applyAlignment="1">
      <alignment horizontal="left" vertical="top"/>
    </xf>
    <xf numFmtId="165" fontId="28" fillId="0" borderId="12" xfId="0" applyNumberFormat="1" applyFont="1" applyFill="1" applyBorder="1" applyAlignment="1">
      <alignment horizontal="left" vertical="top"/>
    </xf>
    <xf numFmtId="167" fontId="13" fillId="6" borderId="0" xfId="0" applyFont="1" applyFill="1" applyBorder="1" applyAlignment="1">
      <alignment horizontal="left" vertical="top"/>
    </xf>
    <xf numFmtId="10" fontId="13" fillId="6" borderId="0" xfId="0" applyNumberFormat="1" applyFont="1" applyFill="1" applyBorder="1" applyAlignment="1">
      <alignment horizontal="left" vertical="top"/>
    </xf>
    <xf numFmtId="2" fontId="13" fillId="0" borderId="4" xfId="2" applyNumberFormat="1" applyFont="1" applyFill="1" applyBorder="1" applyAlignment="1">
      <alignment horizontal="left" vertical="top"/>
    </xf>
    <xf numFmtId="2" fontId="13" fillId="6" borderId="0" xfId="2" applyNumberFormat="1" applyFont="1" applyFill="1" applyBorder="1" applyAlignment="1">
      <alignment horizontal="left" vertical="top"/>
    </xf>
    <xf numFmtId="2" fontId="47" fillId="0" borderId="4" xfId="2" applyNumberFormat="1" applyFont="1" applyFill="1" applyBorder="1" applyAlignment="1">
      <alignment horizontal="left" vertical="top"/>
    </xf>
    <xf numFmtId="9" fontId="13" fillId="6" borderId="0" xfId="0" applyNumberFormat="1" applyFont="1" applyFill="1" applyBorder="1" applyAlignment="1">
      <alignment horizontal="left" vertical="top"/>
    </xf>
    <xf numFmtId="10" fontId="47" fillId="0" borderId="4" xfId="2" applyNumberFormat="1" applyFont="1" applyFill="1" applyBorder="1" applyAlignment="1">
      <alignment horizontal="left" vertical="top"/>
    </xf>
    <xf numFmtId="10" fontId="47" fillId="0" borderId="5" xfId="2" applyNumberFormat="1" applyFont="1" applyFill="1" applyBorder="1" applyAlignment="1">
      <alignment horizontal="left" vertical="top"/>
    </xf>
    <xf numFmtId="10" fontId="14" fillId="0" borderId="13" xfId="0" applyNumberFormat="1" applyFont="1" applyFill="1" applyBorder="1" applyAlignment="1">
      <alignment horizontal="left" vertical="top"/>
    </xf>
    <xf numFmtId="10" fontId="14" fillId="0" borderId="14" xfId="0" applyNumberFormat="1" applyFont="1" applyFill="1" applyBorder="1" applyAlignment="1">
      <alignment horizontal="left" vertical="top"/>
    </xf>
    <xf numFmtId="10" fontId="14" fillId="0" borderId="12" xfId="0" applyNumberFormat="1" applyFont="1" applyFill="1" applyBorder="1" applyAlignment="1">
      <alignment horizontal="left" vertical="top"/>
    </xf>
    <xf numFmtId="10" fontId="13" fillId="6" borderId="0" xfId="2" applyNumberFormat="1" applyFont="1" applyFill="1" applyBorder="1" applyAlignment="1">
      <alignment horizontal="left" vertical="top"/>
    </xf>
    <xf numFmtId="167" fontId="47" fillId="0" borderId="4" xfId="0" applyFont="1" applyFill="1" applyBorder="1" applyAlignment="1">
      <alignment horizontal="left" vertical="top"/>
    </xf>
    <xf numFmtId="167" fontId="47" fillId="0" borderId="5" xfId="0" applyFont="1" applyFill="1" applyBorder="1" applyAlignment="1">
      <alignment horizontal="left" vertical="top"/>
    </xf>
    <xf numFmtId="9" fontId="17" fillId="0" borderId="13" xfId="0" applyNumberFormat="1" applyFont="1" applyFill="1" applyBorder="1" applyAlignment="1">
      <alignment horizontal="left" vertical="top"/>
    </xf>
    <xf numFmtId="9" fontId="42" fillId="0" borderId="12" xfId="0" applyNumberFormat="1" applyFont="1" applyFill="1" applyBorder="1" applyAlignment="1">
      <alignment horizontal="left" vertical="top"/>
    </xf>
    <xf numFmtId="9" fontId="42" fillId="0" borderId="14" xfId="0" applyNumberFormat="1" applyFont="1" applyFill="1" applyBorder="1" applyAlignment="1">
      <alignment horizontal="left" vertical="top"/>
    </xf>
    <xf numFmtId="2" fontId="13" fillId="0" borderId="6" xfId="0" applyNumberFormat="1" applyFont="1" applyFill="1" applyBorder="1" applyAlignment="1">
      <alignment horizontal="left" vertical="top"/>
    </xf>
    <xf numFmtId="2" fontId="13" fillId="0" borderId="7" xfId="0" applyNumberFormat="1" applyFont="1" applyFill="1" applyBorder="1" applyAlignment="1">
      <alignment horizontal="left" vertical="top"/>
    </xf>
    <xf numFmtId="167" fontId="25" fillId="0" borderId="0" xfId="0" quotePrefix="1" applyFont="1" applyFill="1" applyBorder="1" applyAlignment="1">
      <alignment horizontal="left" vertical="top"/>
    </xf>
    <xf numFmtId="167" fontId="25" fillId="0" borderId="5" xfId="0" quotePrefix="1" applyFont="1" applyFill="1" applyBorder="1" applyAlignment="1">
      <alignment horizontal="left" vertical="top"/>
    </xf>
    <xf numFmtId="10" fontId="13" fillId="0" borderId="4" xfId="2" applyNumberFormat="1" applyFont="1" applyBorder="1" applyAlignment="1">
      <alignment horizontal="left" vertical="top"/>
    </xf>
    <xf numFmtId="167" fontId="13" fillId="0" borderId="4" xfId="0" applyFont="1" applyBorder="1" applyAlignment="1">
      <alignment horizontal="left" vertical="top"/>
    </xf>
    <xf numFmtId="10" fontId="13" fillId="9" borderId="9" xfId="0" applyNumberFormat="1" applyFont="1" applyFill="1" applyBorder="1" applyAlignment="1">
      <alignment horizontal="left" vertical="top"/>
    </xf>
    <xf numFmtId="10" fontId="14" fillId="9" borderId="10" xfId="0" applyNumberFormat="1" applyFont="1" applyFill="1" applyBorder="1" applyAlignment="1">
      <alignment horizontal="left" vertical="top"/>
    </xf>
    <xf numFmtId="167" fontId="13" fillId="14" borderId="2" xfId="0" applyFont="1" applyFill="1" applyBorder="1" applyAlignment="1">
      <alignment horizontal="left" vertical="top"/>
    </xf>
    <xf numFmtId="167" fontId="13" fillId="9" borderId="47" xfId="0" applyFont="1" applyFill="1" applyBorder="1" applyAlignment="1">
      <alignment vertical="top"/>
    </xf>
    <xf numFmtId="166" fontId="26" fillId="0" borderId="4" xfId="0" applyNumberFormat="1" applyFont="1" applyFill="1" applyBorder="1" applyAlignment="1">
      <alignment horizontal="left" vertical="top"/>
    </xf>
    <xf numFmtId="166" fontId="26" fillId="0" borderId="0" xfId="0" applyNumberFormat="1" applyFont="1" applyFill="1" applyBorder="1" applyAlignment="1">
      <alignment horizontal="left" vertical="top"/>
    </xf>
    <xf numFmtId="166" fontId="26" fillId="0" borderId="5" xfId="0" applyNumberFormat="1" applyFont="1" applyFill="1" applyBorder="1" applyAlignment="1">
      <alignment horizontal="left" vertical="top"/>
    </xf>
    <xf numFmtId="167" fontId="14" fillId="0" borderId="5" xfId="0" applyFont="1" applyFill="1" applyBorder="1" applyAlignment="1">
      <alignment horizontal="left" vertical="top"/>
    </xf>
    <xf numFmtId="10" fontId="8" fillId="0" borderId="4" xfId="2" applyNumberFormat="1" applyFont="1" applyFill="1" applyBorder="1" applyAlignment="1">
      <alignment horizontal="left" vertical="top"/>
    </xf>
    <xf numFmtId="10" fontId="8" fillId="0" borderId="0" xfId="2" applyNumberFormat="1" applyFont="1" applyFill="1" applyBorder="1" applyAlignment="1">
      <alignment horizontal="left" vertical="top"/>
    </xf>
    <xf numFmtId="10" fontId="54" fillId="11" borderId="4" xfId="2" quotePrefix="1" applyNumberFormat="1" applyFont="1" applyFill="1" applyBorder="1" applyAlignment="1">
      <alignment horizontal="left" vertical="top"/>
    </xf>
    <xf numFmtId="167" fontId="13" fillId="14" borderId="9" xfId="0" applyFont="1" applyFill="1" applyBorder="1" applyAlignment="1">
      <alignment horizontal="left" vertical="top"/>
    </xf>
    <xf numFmtId="167" fontId="13" fillId="14" borderId="10" xfId="0" applyFont="1" applyFill="1" applyBorder="1" applyAlignment="1">
      <alignment horizontal="left" vertical="top"/>
    </xf>
    <xf numFmtId="167" fontId="13" fillId="14" borderId="1" xfId="0" applyFont="1" applyFill="1" applyBorder="1" applyAlignment="1">
      <alignment horizontal="left" vertical="top"/>
    </xf>
    <xf numFmtId="10" fontId="42" fillId="0" borderId="7" xfId="2" quotePrefix="1" applyNumberFormat="1" applyFont="1" applyFill="1" applyBorder="1" applyAlignment="1">
      <alignment horizontal="left" vertical="top"/>
    </xf>
    <xf numFmtId="10" fontId="42" fillId="0" borderId="8" xfId="2" quotePrefix="1" applyNumberFormat="1" applyFont="1" applyFill="1" applyBorder="1" applyAlignment="1">
      <alignment horizontal="left" vertical="top"/>
    </xf>
    <xf numFmtId="167" fontId="18" fillId="0" borderId="4" xfId="0" applyFont="1" applyBorder="1" applyAlignment="1">
      <alignment horizontal="left" vertical="top"/>
    </xf>
    <xf numFmtId="167" fontId="13" fillId="14" borderId="2" xfId="0" applyFont="1" applyFill="1" applyBorder="1" applyAlignment="1">
      <alignment horizontal="right" vertical="top"/>
    </xf>
    <xf numFmtId="10" fontId="54" fillId="4" borderId="0" xfId="0" applyNumberFormat="1" applyFont="1" applyFill="1" applyBorder="1" applyAlignment="1">
      <alignment horizontal="left" vertical="top"/>
    </xf>
    <xf numFmtId="2" fontId="13" fillId="6" borderId="0" xfId="0" applyNumberFormat="1" applyFont="1" applyFill="1" applyBorder="1" applyAlignment="1">
      <alignment horizontal="left" vertical="top"/>
    </xf>
    <xf numFmtId="0" fontId="14" fillId="0" borderId="0" xfId="0" applyNumberFormat="1" applyFont="1" applyFill="1" applyAlignment="1">
      <alignment horizontal="left"/>
    </xf>
    <xf numFmtId="0" fontId="14" fillId="0" borderId="10" xfId="0" applyNumberFormat="1" applyFont="1" applyFill="1" applyBorder="1" applyAlignment="1">
      <alignment horizontal="left"/>
    </xf>
    <xf numFmtId="0" fontId="13" fillId="0" borderId="0" xfId="0" applyNumberFormat="1" applyFont="1" applyFill="1" applyAlignment="1">
      <alignment horizontal="left"/>
    </xf>
    <xf numFmtId="0" fontId="13" fillId="0" borderId="56" xfId="0" applyNumberFormat="1" applyFont="1" applyFill="1" applyBorder="1" applyAlignment="1">
      <alignment horizontal="left" indent="1"/>
    </xf>
    <xf numFmtId="0" fontId="13" fillId="0" borderId="10" xfId="0" applyNumberFormat="1" applyFont="1" applyFill="1" applyBorder="1" applyAlignment="1">
      <alignment horizontal="left" indent="1"/>
    </xf>
    <xf numFmtId="167" fontId="16" fillId="0" borderId="0" xfId="4" applyFont="1" applyFill="1" applyAlignment="1">
      <alignment horizontal="left" vertical="top"/>
    </xf>
    <xf numFmtId="167" fontId="47" fillId="0" borderId="0" xfId="0" applyFont="1" applyAlignment="1"/>
    <xf numFmtId="0" fontId="13" fillId="0" borderId="0" xfId="0" applyNumberFormat="1" applyFont="1" applyAlignment="1"/>
    <xf numFmtId="0" fontId="0" fillId="0" borderId="0" xfId="0" applyNumberFormat="1" applyAlignment="1"/>
    <xf numFmtId="0" fontId="0" fillId="0" borderId="0" xfId="2" applyNumberFormat="1" applyFont="1" applyAlignment="1">
      <alignment horizontal="left"/>
    </xf>
    <xf numFmtId="0" fontId="14" fillId="14" borderId="0" xfId="0" applyNumberFormat="1" applyFont="1" applyFill="1" applyBorder="1" applyAlignment="1"/>
    <xf numFmtId="0" fontId="14" fillId="6" borderId="0" xfId="0" applyNumberFormat="1" applyFont="1" applyFill="1" applyAlignment="1"/>
    <xf numFmtId="0" fontId="62" fillId="0" borderId="0" xfId="0" applyNumberFormat="1" applyFont="1" applyAlignment="1"/>
    <xf numFmtId="0" fontId="0" fillId="6" borderId="0" xfId="0" applyNumberFormat="1" applyFill="1" applyAlignment="1"/>
    <xf numFmtId="0" fontId="47" fillId="9" borderId="0" xfId="0" applyNumberFormat="1" applyFont="1" applyFill="1" applyBorder="1" applyAlignment="1">
      <alignment vertical="top"/>
    </xf>
    <xf numFmtId="0" fontId="47" fillId="9" borderId="0" xfId="2" applyNumberFormat="1" applyFont="1" applyFill="1" applyBorder="1" applyAlignment="1">
      <alignment horizontal="left" vertical="top"/>
    </xf>
    <xf numFmtId="10" fontId="26" fillId="0" borderId="5" xfId="0" applyNumberFormat="1" applyFont="1" applyFill="1" applyBorder="1" applyAlignment="1">
      <alignment horizontal="left" vertical="top"/>
    </xf>
    <xf numFmtId="0" fontId="26" fillId="0" borderId="42" xfId="2" applyNumberFormat="1" applyFont="1" applyFill="1" applyBorder="1" applyAlignment="1">
      <alignment horizontal="left" vertical="top"/>
    </xf>
    <xf numFmtId="0" fontId="26" fillId="0" borderId="43" xfId="2" applyNumberFormat="1" applyFont="1" applyFill="1" applyBorder="1" applyAlignment="1">
      <alignment horizontal="left" vertical="top"/>
    </xf>
    <xf numFmtId="167" fontId="49" fillId="0" borderId="2" xfId="0" applyFont="1" applyFill="1" applyBorder="1" applyAlignment="1">
      <alignment vertical="top"/>
    </xf>
    <xf numFmtId="165" fontId="13" fillId="0" borderId="0" xfId="0" applyNumberFormat="1" applyFont="1" applyFill="1" applyBorder="1" applyAlignment="1">
      <alignment horizontal="left" vertical="top"/>
    </xf>
    <xf numFmtId="165" fontId="13" fillId="0" borderId="5" xfId="0" applyNumberFormat="1" applyFont="1" applyFill="1" applyBorder="1" applyAlignment="1">
      <alignment horizontal="left" vertical="top"/>
    </xf>
    <xf numFmtId="165" fontId="13" fillId="0" borderId="4" xfId="0" applyNumberFormat="1" applyFont="1" applyFill="1" applyBorder="1" applyAlignment="1">
      <alignment horizontal="left" vertical="top"/>
    </xf>
    <xf numFmtId="165" fontId="13" fillId="0" borderId="4" xfId="2" quotePrefix="1" applyNumberFormat="1" applyFont="1" applyFill="1" applyBorder="1" applyAlignment="1">
      <alignment horizontal="left" vertical="top"/>
    </xf>
    <xf numFmtId="165" fontId="13" fillId="0" borderId="0" xfId="2" quotePrefix="1" applyNumberFormat="1" applyFont="1" applyFill="1" applyBorder="1" applyAlignment="1">
      <alignment horizontal="left" vertical="top"/>
    </xf>
    <xf numFmtId="165" fontId="13" fillId="0" borderId="5" xfId="2" applyNumberFormat="1" applyFont="1" applyFill="1" applyBorder="1" applyAlignment="1">
      <alignment horizontal="left" vertical="top"/>
    </xf>
    <xf numFmtId="0" fontId="42" fillId="0" borderId="0" xfId="0" applyNumberFormat="1" applyFont="1" applyFill="1" applyBorder="1" applyAlignment="1">
      <alignment vertical="top"/>
    </xf>
    <xf numFmtId="10" fontId="13" fillId="2" borderId="4" xfId="2" quotePrefix="1" applyNumberFormat="1" applyFont="1" applyFill="1" applyBorder="1" applyAlignment="1">
      <alignment horizontal="left" vertical="top"/>
    </xf>
    <xf numFmtId="0" fontId="47" fillId="0" borderId="0" xfId="0" applyNumberFormat="1" applyFont="1" applyFill="1" applyBorder="1" applyAlignment="1">
      <alignment horizontal="right" vertical="top"/>
    </xf>
    <xf numFmtId="167" fontId="14" fillId="0" borderId="8" xfId="0" applyFont="1" applyFill="1" applyBorder="1" applyAlignment="1">
      <alignment vertical="top"/>
    </xf>
    <xf numFmtId="167" fontId="13" fillId="0" borderId="7" xfId="0" applyFont="1" applyFill="1" applyBorder="1" applyAlignment="1">
      <alignment horizontal="left" vertical="top"/>
    </xf>
    <xf numFmtId="17" fontId="42" fillId="0" borderId="5" xfId="0" applyNumberFormat="1" applyFont="1" applyFill="1" applyBorder="1" applyAlignment="1">
      <alignment horizontal="right" vertical="top"/>
    </xf>
    <xf numFmtId="0" fontId="19" fillId="0" borderId="0" xfId="0" applyNumberFormat="1" applyFont="1" applyFill="1" applyBorder="1" applyAlignment="1">
      <alignment horizontal="left" vertical="top"/>
    </xf>
    <xf numFmtId="0" fontId="28" fillId="0" borderId="0" xfId="0" applyNumberFormat="1" applyFont="1" applyFill="1" applyBorder="1" applyAlignment="1">
      <alignment horizontal="left" vertical="top"/>
    </xf>
    <xf numFmtId="0" fontId="17" fillId="0" borderId="0" xfId="0" applyNumberFormat="1" applyFont="1" applyFill="1" applyBorder="1" applyAlignment="1">
      <alignment horizontal="left" vertical="top"/>
    </xf>
    <xf numFmtId="0" fontId="0" fillId="0" borderId="12" xfId="0" applyNumberFormat="1" applyFill="1" applyBorder="1" applyAlignment="1">
      <alignment vertical="top"/>
    </xf>
    <xf numFmtId="0" fontId="67" fillId="0" borderId="12" xfId="2" quotePrefix="1" applyNumberFormat="1" applyFont="1" applyFill="1" applyBorder="1" applyAlignment="1">
      <alignment horizontal="left" vertical="top"/>
    </xf>
    <xf numFmtId="167" fontId="13" fillId="0" borderId="12" xfId="0" applyFont="1" applyFill="1" applyBorder="1" applyAlignment="1">
      <alignment horizontal="left" vertical="top"/>
    </xf>
    <xf numFmtId="10" fontId="8" fillId="0" borderId="12" xfId="0" applyNumberFormat="1" applyFont="1" applyFill="1" applyBorder="1" applyAlignment="1">
      <alignment horizontal="left" vertical="top"/>
    </xf>
    <xf numFmtId="10" fontId="27" fillId="0" borderId="12" xfId="0" applyNumberFormat="1" applyFont="1" applyFill="1" applyBorder="1" applyAlignment="1">
      <alignment horizontal="left" vertical="top"/>
    </xf>
    <xf numFmtId="10" fontId="13" fillId="0" borderId="12" xfId="0" applyNumberFormat="1" applyFont="1" applyFill="1" applyBorder="1" applyAlignment="1">
      <alignment horizontal="left" vertical="top"/>
    </xf>
    <xf numFmtId="10" fontId="13" fillId="2" borderId="11" xfId="0" applyNumberFormat="1" applyFont="1" applyFill="1" applyBorder="1" applyAlignment="1">
      <alignment horizontal="left" vertical="top"/>
    </xf>
    <xf numFmtId="167" fontId="13" fillId="0" borderId="13" xfId="0" quotePrefix="1" applyFont="1" applyFill="1" applyBorder="1" applyAlignment="1">
      <alignment horizontal="left" vertical="top"/>
    </xf>
    <xf numFmtId="167" fontId="0" fillId="0" borderId="12" xfId="0" applyFill="1" applyBorder="1" applyAlignment="1">
      <alignment vertical="top"/>
    </xf>
    <xf numFmtId="0" fontId="14" fillId="0" borderId="8" xfId="0" applyNumberFormat="1" applyFont="1" applyBorder="1" applyAlignment="1">
      <alignment horizontal="left" vertical="top"/>
    </xf>
    <xf numFmtId="167" fontId="32" fillId="11" borderId="9" xfId="0" applyFont="1" applyFill="1" applyBorder="1" applyAlignment="1">
      <alignment horizontal="left" vertical="top"/>
    </xf>
    <xf numFmtId="10" fontId="32" fillId="11" borderId="6" xfId="2" quotePrefix="1" applyNumberFormat="1" applyFont="1" applyFill="1" applyBorder="1" applyAlignment="1">
      <alignment horizontal="left" vertical="top"/>
    </xf>
    <xf numFmtId="167" fontId="32" fillId="4" borderId="2" xfId="0" applyFont="1" applyFill="1" applyBorder="1" applyAlignment="1">
      <alignment horizontal="left" vertical="top"/>
    </xf>
    <xf numFmtId="10" fontId="54" fillId="4" borderId="0" xfId="2" applyNumberFormat="1" applyFont="1" applyFill="1" applyBorder="1" applyAlignment="1">
      <alignment horizontal="left" vertical="top"/>
    </xf>
    <xf numFmtId="10" fontId="32" fillId="4" borderId="6" xfId="0" applyNumberFormat="1" applyFont="1" applyFill="1" applyBorder="1" applyAlignment="1">
      <alignment horizontal="left" vertical="top"/>
    </xf>
    <xf numFmtId="167" fontId="13" fillId="0" borderId="1" xfId="0" applyFont="1" applyFill="1" applyBorder="1" applyAlignment="1">
      <alignment horizontal="left" vertical="top"/>
    </xf>
    <xf numFmtId="167" fontId="13" fillId="0" borderId="6" xfId="0" applyFont="1" applyFill="1" applyBorder="1" applyAlignment="1">
      <alignment horizontal="left" vertical="top"/>
    </xf>
    <xf numFmtId="10" fontId="13" fillId="0" borderId="8" xfId="2" applyNumberFormat="1" applyFont="1" applyFill="1" applyBorder="1" applyAlignment="1">
      <alignment horizontal="left" vertical="top"/>
    </xf>
    <xf numFmtId="166" fontId="13" fillId="0" borderId="13" xfId="0" applyNumberFormat="1" applyFont="1" applyFill="1" applyBorder="1" applyAlignment="1">
      <alignment horizontal="left" vertical="top"/>
    </xf>
    <xf numFmtId="166" fontId="13" fillId="0" borderId="14" xfId="0" applyNumberFormat="1" applyFont="1" applyFill="1" applyBorder="1" applyAlignment="1">
      <alignment horizontal="left" vertical="top"/>
    </xf>
    <xf numFmtId="10" fontId="13" fillId="0" borderId="5" xfId="0" applyNumberFormat="1" applyFont="1" applyBorder="1" applyAlignment="1">
      <alignment horizontal="left" vertical="top"/>
    </xf>
    <xf numFmtId="0" fontId="13" fillId="0" borderId="5" xfId="2" applyNumberFormat="1" applyFont="1" applyFill="1" applyBorder="1" applyAlignment="1">
      <alignment horizontal="left" vertical="top"/>
    </xf>
    <xf numFmtId="0" fontId="13" fillId="0" borderId="6" xfId="2" applyNumberFormat="1" applyFont="1" applyFill="1" applyBorder="1" applyAlignment="1">
      <alignment horizontal="left" vertical="top"/>
    </xf>
    <xf numFmtId="0" fontId="13" fillId="0" borderId="7" xfId="2" applyNumberFormat="1" applyFont="1" applyFill="1" applyBorder="1" applyAlignment="1">
      <alignment horizontal="left" vertical="top"/>
    </xf>
    <xf numFmtId="0" fontId="13" fillId="0" borderId="8" xfId="2" applyNumberFormat="1" applyFont="1" applyFill="1" applyBorder="1" applyAlignment="1">
      <alignment horizontal="left" vertical="top"/>
    </xf>
    <xf numFmtId="2" fontId="13" fillId="0" borderId="13" xfId="0" applyNumberFormat="1" applyFont="1" applyFill="1" applyBorder="1" applyAlignment="1">
      <alignment horizontal="left" vertical="top"/>
    </xf>
    <xf numFmtId="2" fontId="13" fillId="0" borderId="12" xfId="0" applyNumberFormat="1" applyFont="1" applyFill="1" applyBorder="1" applyAlignment="1">
      <alignment horizontal="left" vertical="top"/>
    </xf>
    <xf numFmtId="2" fontId="13" fillId="0" borderId="14" xfId="0" applyNumberFormat="1" applyFont="1" applyFill="1" applyBorder="1" applyAlignment="1">
      <alignment horizontal="left" vertical="top"/>
    </xf>
    <xf numFmtId="10" fontId="13" fillId="2" borderId="5" xfId="2" applyNumberFormat="1" applyFont="1" applyFill="1" applyBorder="1" applyAlignment="1">
      <alignment horizontal="left" vertical="top"/>
    </xf>
    <xf numFmtId="10" fontId="13" fillId="0" borderId="5" xfId="2" applyNumberFormat="1" applyFont="1" applyBorder="1" applyAlignment="1">
      <alignment horizontal="left" vertical="top"/>
    </xf>
    <xf numFmtId="10" fontId="28" fillId="0" borderId="5" xfId="2" applyNumberFormat="1" applyFont="1" applyFill="1" applyBorder="1" applyAlignment="1">
      <alignment horizontal="left" vertical="top"/>
    </xf>
    <xf numFmtId="10" fontId="28" fillId="0" borderId="8" xfId="2" applyNumberFormat="1" applyFont="1" applyFill="1" applyBorder="1" applyAlignment="1">
      <alignment horizontal="left" vertical="top"/>
    </xf>
    <xf numFmtId="10" fontId="28" fillId="0" borderId="13" xfId="2" applyNumberFormat="1" applyFont="1" applyFill="1" applyBorder="1" applyAlignment="1">
      <alignment horizontal="left" vertical="top"/>
    </xf>
    <xf numFmtId="2" fontId="28" fillId="0" borderId="13" xfId="0" applyNumberFormat="1" applyFont="1" applyFill="1" applyBorder="1" applyAlignment="1">
      <alignment horizontal="left" vertical="top"/>
    </xf>
    <xf numFmtId="2" fontId="28" fillId="0" borderId="12" xfId="0" applyNumberFormat="1" applyFont="1" applyFill="1" applyBorder="1" applyAlignment="1">
      <alignment horizontal="left" vertical="top"/>
    </xf>
    <xf numFmtId="2" fontId="28" fillId="0" borderId="14" xfId="0" applyNumberFormat="1" applyFont="1" applyFill="1" applyBorder="1" applyAlignment="1">
      <alignment horizontal="left" vertical="top"/>
    </xf>
    <xf numFmtId="0" fontId="13" fillId="0" borderId="5" xfId="0" applyNumberFormat="1" applyFont="1" applyBorder="1" applyAlignment="1">
      <alignment horizontal="left" vertical="top"/>
    </xf>
    <xf numFmtId="10" fontId="54" fillId="0" borderId="0" xfId="2" quotePrefix="1" applyNumberFormat="1" applyFont="1" applyFill="1" applyBorder="1" applyAlignment="1">
      <alignment horizontal="left" vertical="top"/>
    </xf>
    <xf numFmtId="167" fontId="14" fillId="14" borderId="0" xfId="0" applyFont="1" applyFill="1" applyBorder="1" applyAlignment="1">
      <alignment horizontal="left" vertical="top"/>
    </xf>
    <xf numFmtId="10" fontId="13" fillId="14" borderId="0" xfId="2" quotePrefix="1" applyNumberFormat="1" applyFont="1" applyFill="1" applyBorder="1" applyAlignment="1">
      <alignment horizontal="left" vertical="top"/>
    </xf>
    <xf numFmtId="10" fontId="13" fillId="14" borderId="4" xfId="2" quotePrefix="1" applyNumberFormat="1" applyFont="1" applyFill="1" applyBorder="1" applyAlignment="1">
      <alignment horizontal="left" vertical="top"/>
    </xf>
    <xf numFmtId="10" fontId="13" fillId="14" borderId="4" xfId="2" applyNumberFormat="1" applyFont="1" applyFill="1" applyBorder="1" applyAlignment="1">
      <alignment horizontal="left" vertical="top"/>
    </xf>
    <xf numFmtId="10" fontId="13" fillId="14" borderId="0" xfId="2" applyNumberFormat="1" applyFont="1" applyFill="1" applyBorder="1" applyAlignment="1">
      <alignment horizontal="left" vertical="top"/>
    </xf>
    <xf numFmtId="10" fontId="13" fillId="5" borderId="4" xfId="2" applyNumberFormat="1" applyFont="1" applyFill="1" applyBorder="1" applyAlignment="1">
      <alignment horizontal="left" vertical="top"/>
    </xf>
    <xf numFmtId="10" fontId="13" fillId="2" borderId="0" xfId="0" applyNumberFormat="1" applyFont="1" applyFill="1" applyBorder="1" applyAlignment="1">
      <alignment horizontal="left" vertical="top"/>
    </xf>
    <xf numFmtId="10" fontId="13" fillId="5" borderId="0" xfId="2" applyNumberFormat="1" applyFont="1" applyFill="1" applyBorder="1" applyAlignment="1">
      <alignment horizontal="left" vertical="top"/>
    </xf>
    <xf numFmtId="10" fontId="13" fillId="2" borderId="5" xfId="0" applyNumberFormat="1" applyFont="1" applyFill="1" applyBorder="1" applyAlignment="1">
      <alignment horizontal="left" vertical="top"/>
    </xf>
    <xf numFmtId="10" fontId="13" fillId="14" borderId="5" xfId="2" applyNumberFormat="1" applyFont="1" applyFill="1" applyBorder="1" applyAlignment="1">
      <alignment horizontal="left" vertical="top"/>
    </xf>
    <xf numFmtId="167" fontId="14" fillId="14" borderId="48" xfId="0" applyFont="1" applyFill="1" applyBorder="1" applyAlignment="1">
      <alignment horizontal="left" vertical="top"/>
    </xf>
    <xf numFmtId="167" fontId="14" fillId="14" borderId="44" xfId="0" quotePrefix="1" applyFont="1" applyFill="1" applyBorder="1" applyAlignment="1">
      <alignment horizontal="left" vertical="top"/>
    </xf>
    <xf numFmtId="10" fontId="13" fillId="14" borderId="63" xfId="2" quotePrefix="1" applyNumberFormat="1" applyFont="1" applyFill="1" applyBorder="1" applyAlignment="1">
      <alignment horizontal="left" vertical="top"/>
    </xf>
    <xf numFmtId="10" fontId="42" fillId="0" borderId="56" xfId="2" quotePrefix="1" applyNumberFormat="1" applyFont="1" applyFill="1" applyBorder="1" applyAlignment="1">
      <alignment horizontal="left" vertical="top"/>
    </xf>
    <xf numFmtId="10" fontId="42" fillId="0" borderId="64" xfId="2" quotePrefix="1" applyNumberFormat="1" applyFont="1" applyFill="1" applyBorder="1" applyAlignment="1">
      <alignment horizontal="left" vertical="top"/>
    </xf>
    <xf numFmtId="10" fontId="32" fillId="11" borderId="63" xfId="2" quotePrefix="1" applyNumberFormat="1" applyFont="1" applyFill="1" applyBorder="1" applyAlignment="1">
      <alignment horizontal="left" vertical="top"/>
    </xf>
    <xf numFmtId="10" fontId="32" fillId="11" borderId="42" xfId="2" quotePrefix="1" applyNumberFormat="1" applyFont="1" applyFill="1" applyBorder="1" applyAlignment="1">
      <alignment horizontal="left" vertical="top"/>
    </xf>
    <xf numFmtId="167" fontId="15" fillId="0" borderId="4" xfId="0" applyFont="1" applyBorder="1" applyAlignment="1">
      <alignment horizontal="left" vertical="top"/>
    </xf>
    <xf numFmtId="167" fontId="15" fillId="0" borderId="5" xfId="0" applyFont="1" applyBorder="1" applyAlignment="1">
      <alignment horizontal="left" vertical="top"/>
    </xf>
    <xf numFmtId="10" fontId="13" fillId="5" borderId="66" xfId="2" applyNumberFormat="1" applyFont="1" applyFill="1" applyBorder="1" applyAlignment="1">
      <alignment horizontal="left" vertical="top"/>
    </xf>
    <xf numFmtId="10" fontId="13" fillId="2" borderId="66" xfId="0" applyNumberFormat="1" applyFont="1" applyFill="1" applyBorder="1" applyAlignment="1">
      <alignment horizontal="left" vertical="top"/>
    </xf>
    <xf numFmtId="10" fontId="13" fillId="5" borderId="64" xfId="2" applyNumberFormat="1" applyFont="1" applyFill="1" applyBorder="1" applyAlignment="1">
      <alignment horizontal="left" vertical="top"/>
    </xf>
    <xf numFmtId="10" fontId="13" fillId="2" borderId="65" xfId="0" applyNumberFormat="1" applyFont="1" applyFill="1" applyBorder="1" applyAlignment="1">
      <alignment horizontal="left" vertical="top"/>
    </xf>
    <xf numFmtId="10" fontId="13" fillId="14" borderId="63" xfId="2" applyNumberFormat="1" applyFont="1" applyFill="1" applyBorder="1" applyAlignment="1">
      <alignment horizontal="left" vertical="top"/>
    </xf>
    <xf numFmtId="10" fontId="32" fillId="4" borderId="56" xfId="0" applyNumberFormat="1" applyFont="1" applyFill="1" applyBorder="1" applyAlignment="1">
      <alignment horizontal="left" vertical="top"/>
    </xf>
    <xf numFmtId="10" fontId="13" fillId="14" borderId="56" xfId="2" applyNumberFormat="1" applyFont="1" applyFill="1" applyBorder="1" applyAlignment="1">
      <alignment horizontal="left" vertical="top"/>
    </xf>
    <xf numFmtId="10" fontId="32" fillId="4" borderId="43" xfId="0" applyNumberFormat="1" applyFont="1" applyFill="1" applyBorder="1" applyAlignment="1">
      <alignment horizontal="left" vertical="top"/>
    </xf>
    <xf numFmtId="10" fontId="14" fillId="0" borderId="44" xfId="2" applyNumberFormat="1" applyFont="1" applyFill="1" applyBorder="1" applyAlignment="1">
      <alignment horizontal="left" vertical="top" wrapText="1"/>
    </xf>
    <xf numFmtId="10" fontId="13" fillId="14" borderId="64" xfId="2" applyNumberFormat="1" applyFont="1" applyFill="1" applyBorder="1" applyAlignment="1">
      <alignment horizontal="left" vertical="top"/>
    </xf>
    <xf numFmtId="167" fontId="14" fillId="14" borderId="42" xfId="0" applyFont="1" applyFill="1" applyBorder="1" applyAlignment="1">
      <alignment horizontal="left" vertical="top"/>
    </xf>
    <xf numFmtId="10" fontId="14" fillId="0" borderId="43" xfId="2" applyNumberFormat="1" applyFont="1" applyFill="1" applyBorder="1" applyAlignment="1">
      <alignment horizontal="left" vertical="top" wrapText="1"/>
    </xf>
    <xf numFmtId="10" fontId="42" fillId="0" borderId="43" xfId="2" quotePrefix="1" applyNumberFormat="1" applyFont="1" applyFill="1" applyBorder="1" applyAlignment="1">
      <alignment horizontal="left" vertical="top"/>
    </xf>
    <xf numFmtId="10" fontId="42" fillId="0" borderId="44" xfId="2" quotePrefix="1" applyNumberFormat="1" applyFont="1" applyFill="1" applyBorder="1" applyAlignment="1">
      <alignment horizontal="left" vertical="top"/>
    </xf>
    <xf numFmtId="10" fontId="42" fillId="0" borderId="9" xfId="0" applyNumberFormat="1" applyFont="1" applyFill="1" applyBorder="1" applyAlignment="1">
      <alignment horizontal="left" vertical="top"/>
    </xf>
    <xf numFmtId="167" fontId="42" fillId="0" borderId="9" xfId="0" applyFont="1" applyFill="1" applyBorder="1" applyAlignment="1">
      <alignment horizontal="left" vertical="top"/>
    </xf>
    <xf numFmtId="10" fontId="14" fillId="2" borderId="63" xfId="2" quotePrefix="1" applyNumberFormat="1" applyFont="1" applyFill="1" applyBorder="1" applyAlignment="1">
      <alignment horizontal="left" vertical="top"/>
    </xf>
    <xf numFmtId="10" fontId="14" fillId="2" borderId="42" xfId="2" quotePrefix="1" applyNumberFormat="1" applyFont="1" applyFill="1" applyBorder="1" applyAlignment="1">
      <alignment horizontal="left" vertical="top"/>
    </xf>
    <xf numFmtId="10" fontId="14" fillId="2" borderId="6" xfId="2" quotePrefix="1" applyNumberFormat="1" applyFont="1" applyFill="1" applyBorder="1" applyAlignment="1">
      <alignment horizontal="left" vertical="top"/>
    </xf>
    <xf numFmtId="10" fontId="32" fillId="12" borderId="2" xfId="0" applyNumberFormat="1" applyFont="1" applyFill="1" applyBorder="1" applyAlignment="1">
      <alignment horizontal="left" vertical="top"/>
    </xf>
    <xf numFmtId="10" fontId="54" fillId="12" borderId="0" xfId="2" quotePrefix="1" applyNumberFormat="1" applyFont="1" applyFill="1" applyBorder="1" applyAlignment="1">
      <alignment horizontal="left" vertical="top"/>
    </xf>
    <xf numFmtId="10" fontId="32" fillId="12" borderId="56" xfId="2" quotePrefix="1" applyNumberFormat="1" applyFont="1" applyFill="1" applyBorder="1" applyAlignment="1">
      <alignment horizontal="left" vertical="top"/>
    </xf>
    <xf numFmtId="10" fontId="32" fillId="12" borderId="43" xfId="2" quotePrefix="1" applyNumberFormat="1" applyFont="1" applyFill="1" applyBorder="1" applyAlignment="1">
      <alignment horizontal="left" vertical="top"/>
    </xf>
    <xf numFmtId="10" fontId="32" fillId="12" borderId="11" xfId="2" quotePrefix="1" applyNumberFormat="1" applyFont="1" applyFill="1" applyBorder="1" applyAlignment="1">
      <alignment horizontal="left" vertical="top"/>
    </xf>
    <xf numFmtId="167" fontId="13" fillId="0" borderId="43" xfId="0" applyFont="1" applyBorder="1" applyAlignment="1"/>
    <xf numFmtId="2" fontId="0" fillId="0" borderId="43" xfId="0" applyNumberFormat="1" applyBorder="1" applyAlignment="1">
      <alignment horizontal="left"/>
    </xf>
    <xf numFmtId="10" fontId="14" fillId="0" borderId="43" xfId="0" applyNumberFormat="1" applyFont="1" applyBorder="1" applyAlignment="1">
      <alignment horizontal="left"/>
    </xf>
    <xf numFmtId="10" fontId="0" fillId="0" borderId="43" xfId="0" applyNumberFormat="1" applyBorder="1" applyAlignment="1">
      <alignment horizontal="left"/>
    </xf>
    <xf numFmtId="2" fontId="47" fillId="0" borderId="0" xfId="0" applyNumberFormat="1" applyFont="1" applyBorder="1" applyAlignment="1">
      <alignment horizontal="left"/>
    </xf>
    <xf numFmtId="169" fontId="13" fillId="0" borderId="22" xfId="0" applyNumberFormat="1" applyFont="1" applyFill="1" applyBorder="1" applyAlignment="1">
      <alignment horizontal="left" vertical="top"/>
    </xf>
    <xf numFmtId="169" fontId="13" fillId="0" borderId="4" xfId="0" applyNumberFormat="1" applyFont="1" applyFill="1" applyBorder="1" applyAlignment="1">
      <alignment horizontal="left" vertical="top"/>
    </xf>
    <xf numFmtId="2" fontId="53" fillId="0" borderId="0" xfId="0" applyNumberFormat="1" applyFont="1" applyFill="1" applyBorder="1" applyAlignment="1">
      <alignment horizontal="left" vertical="top"/>
    </xf>
    <xf numFmtId="2" fontId="53" fillId="0" borderId="5" xfId="0" applyNumberFormat="1" applyFont="1" applyFill="1" applyBorder="1" applyAlignment="1">
      <alignment horizontal="left" vertical="top"/>
    </xf>
    <xf numFmtId="2" fontId="53" fillId="0" borderId="21" xfId="0" applyNumberFormat="1" applyFont="1" applyFill="1" applyBorder="1" applyAlignment="1">
      <alignment horizontal="left" vertical="top"/>
    </xf>
    <xf numFmtId="9" fontId="0" fillId="0" borderId="0" xfId="2" applyFont="1" applyBorder="1" applyAlignment="1">
      <alignment horizontal="left"/>
    </xf>
    <xf numFmtId="0" fontId="0" fillId="0" borderId="0" xfId="0" applyNumberFormat="1" applyAlignment="1">
      <alignment horizontal="left"/>
    </xf>
    <xf numFmtId="0" fontId="0" fillId="0" borderId="0" xfId="0" quotePrefix="1" applyNumberFormat="1" applyAlignment="1">
      <alignment horizontal="left"/>
    </xf>
    <xf numFmtId="0" fontId="31" fillId="0" borderId="0" xfId="0" applyNumberFormat="1" applyFont="1" applyAlignment="1">
      <alignment horizontal="left"/>
    </xf>
    <xf numFmtId="0" fontId="14" fillId="0" borderId="0" xfId="0" applyNumberFormat="1" applyFont="1" applyFill="1" applyBorder="1" applyAlignment="1">
      <alignment vertical="top"/>
    </xf>
    <xf numFmtId="167" fontId="14" fillId="2" borderId="0" xfId="0" applyNumberFormat="1" applyFont="1" applyFill="1" applyAlignment="1"/>
    <xf numFmtId="167" fontId="14" fillId="0" borderId="0" xfId="0" applyFont="1" applyBorder="1" applyAlignment="1"/>
    <xf numFmtId="167" fontId="0" fillId="0" borderId="12" xfId="0" applyBorder="1" applyAlignment="1"/>
    <xf numFmtId="9" fontId="0" fillId="0" borderId="12" xfId="0" applyNumberFormat="1" applyBorder="1" applyAlignment="1">
      <alignment horizontal="left"/>
    </xf>
    <xf numFmtId="10" fontId="13" fillId="0" borderId="0" xfId="0" applyNumberFormat="1" applyFont="1" applyBorder="1" applyAlignment="1">
      <alignment horizontal="left"/>
    </xf>
    <xf numFmtId="9" fontId="0" fillId="0" borderId="0" xfId="2" applyFont="1" applyAlignment="1">
      <alignment horizontal="left"/>
    </xf>
    <xf numFmtId="9" fontId="0" fillId="0" borderId="45" xfId="2" applyFont="1" applyBorder="1" applyAlignment="1">
      <alignment horizontal="left"/>
    </xf>
    <xf numFmtId="9" fontId="47" fillId="0" borderId="0" xfId="0" applyNumberFormat="1" applyFont="1" applyBorder="1" applyAlignment="1">
      <alignment horizontal="left"/>
    </xf>
    <xf numFmtId="167" fontId="61" fillId="0" borderId="0" xfId="0" applyFont="1" applyBorder="1" applyAlignment="1"/>
    <xf numFmtId="167" fontId="47" fillId="0" borderId="0" xfId="0" applyFont="1" applyFill="1" applyBorder="1" applyAlignment="1"/>
    <xf numFmtId="167" fontId="47" fillId="0" borderId="45" xfId="0" applyFont="1" applyFill="1" applyBorder="1" applyAlignment="1"/>
    <xf numFmtId="2" fontId="13" fillId="0" borderId="0" xfId="0" applyNumberFormat="1" applyFont="1" applyBorder="1" applyAlignment="1">
      <alignment horizontal="left"/>
    </xf>
    <xf numFmtId="167" fontId="13" fillId="0" borderId="45" xfId="0" applyFont="1" applyBorder="1" applyAlignment="1"/>
    <xf numFmtId="10" fontId="14" fillId="0" borderId="0" xfId="2" applyNumberFormat="1" applyFont="1" applyBorder="1" applyAlignment="1">
      <alignment horizontal="left"/>
    </xf>
    <xf numFmtId="10" fontId="13" fillId="0" borderId="0" xfId="2" applyNumberFormat="1" applyFont="1" applyBorder="1" applyAlignment="1">
      <alignment horizontal="left"/>
    </xf>
    <xf numFmtId="0" fontId="62" fillId="0" borderId="0" xfId="0" applyNumberFormat="1" applyFont="1" applyAlignment="1">
      <alignment horizontal="left"/>
    </xf>
    <xf numFmtId="167" fontId="0" fillId="0" borderId="12" xfId="0" applyFill="1" applyBorder="1" applyAlignment="1">
      <alignment horizontal="left"/>
    </xf>
    <xf numFmtId="2" fontId="13" fillId="13" borderId="15" xfId="0" applyNumberFormat="1" applyFont="1" applyFill="1" applyBorder="1" applyAlignment="1">
      <alignment horizontal="left" vertical="top"/>
    </xf>
    <xf numFmtId="167" fontId="84" fillId="0" borderId="0" xfId="0" applyFont="1" applyFill="1" applyBorder="1" applyAlignment="1">
      <alignment horizontal="justify"/>
    </xf>
    <xf numFmtId="167" fontId="83" fillId="0" borderId="0" xfId="0" applyFont="1" applyFill="1" applyBorder="1" applyAlignment="1">
      <alignment horizontal="left"/>
    </xf>
    <xf numFmtId="167" fontId="83" fillId="0" borderId="0" xfId="0" applyFont="1" applyFill="1" applyBorder="1" applyAlignment="1">
      <alignment horizontal="left" indent="1"/>
    </xf>
    <xf numFmtId="166" fontId="13" fillId="13" borderId="35" xfId="2" applyNumberFormat="1" applyFont="1" applyFill="1" applyBorder="1" applyAlignment="1">
      <alignment horizontal="left" vertical="top"/>
    </xf>
    <xf numFmtId="166" fontId="27" fillId="0" borderId="6" xfId="2" applyNumberFormat="1" applyFont="1" applyFill="1" applyBorder="1" applyAlignment="1">
      <alignment horizontal="left" vertical="top"/>
    </xf>
    <xf numFmtId="0" fontId="13" fillId="0" borderId="0" xfId="0" applyNumberFormat="1" applyFont="1" applyFill="1" applyAlignment="1">
      <alignment vertical="top"/>
    </xf>
    <xf numFmtId="0" fontId="85" fillId="0" borderId="0" xfId="2" applyNumberFormat="1" applyFont="1" applyFill="1" applyBorder="1" applyAlignment="1">
      <alignment horizontal="left" vertical="top"/>
    </xf>
    <xf numFmtId="0" fontId="85" fillId="0" borderId="0" xfId="2" quotePrefix="1" applyNumberFormat="1" applyFont="1" applyFill="1" applyBorder="1" applyAlignment="1">
      <alignment horizontal="left" vertical="top"/>
    </xf>
    <xf numFmtId="0" fontId="86" fillId="0" borderId="0" xfId="2" quotePrefix="1" applyNumberFormat="1" applyFont="1" applyFill="1" applyBorder="1" applyAlignment="1">
      <alignment horizontal="left" vertical="top"/>
    </xf>
    <xf numFmtId="0" fontId="85" fillId="0" borderId="0" xfId="0" applyNumberFormat="1" applyFont="1" applyFill="1" applyBorder="1" applyAlignment="1">
      <alignment horizontal="right" vertical="top"/>
    </xf>
    <xf numFmtId="0" fontId="85" fillId="0" borderId="0" xfId="0" applyNumberFormat="1" applyFont="1" applyFill="1" applyBorder="1" applyAlignment="1">
      <alignment horizontal="left" vertical="top"/>
    </xf>
    <xf numFmtId="0" fontId="85" fillId="0" borderId="0" xfId="0" applyNumberFormat="1" applyFont="1" applyBorder="1" applyAlignment="1">
      <alignment vertical="top"/>
    </xf>
    <xf numFmtId="166" fontId="0" fillId="0" borderId="0" xfId="0" applyNumberFormat="1" applyFill="1" applyBorder="1" applyAlignment="1">
      <alignment horizontal="left"/>
    </xf>
    <xf numFmtId="167" fontId="0" fillId="14" borderId="0" xfId="0" applyFill="1"/>
    <xf numFmtId="167" fontId="13" fillId="14" borderId="0" xfId="0" applyFont="1" applyFill="1"/>
    <xf numFmtId="167" fontId="14" fillId="14" borderId="0" xfId="0" applyFont="1" applyFill="1"/>
    <xf numFmtId="10" fontId="32" fillId="11" borderId="10" xfId="0" applyNumberFormat="1" applyFont="1" applyFill="1" applyBorder="1" applyAlignment="1">
      <alignment horizontal="left"/>
    </xf>
    <xf numFmtId="10" fontId="14" fillId="0" borderId="10" xfId="0" applyNumberFormat="1" applyFont="1" applyFill="1" applyBorder="1" applyAlignment="1">
      <alignment horizontal="left"/>
    </xf>
    <xf numFmtId="167" fontId="55" fillId="0" borderId="12" xfId="1" applyNumberFormat="1" applyFont="1" applyFill="1" applyBorder="1" applyAlignment="1" applyProtection="1">
      <alignment horizontal="right"/>
    </xf>
    <xf numFmtId="167" fontId="13" fillId="9" borderId="50" xfId="0" quotePrefix="1" applyFont="1" applyFill="1" applyBorder="1" applyAlignment="1">
      <alignment horizontal="left" indent="1"/>
    </xf>
    <xf numFmtId="167" fontId="0" fillId="9" borderId="0" xfId="0" applyFill="1" applyAlignment="1">
      <alignment horizontal="left"/>
    </xf>
    <xf numFmtId="2" fontId="0" fillId="0" borderId="0" xfId="0" applyNumberFormat="1" applyAlignment="1">
      <alignment horizontal="left"/>
    </xf>
    <xf numFmtId="0" fontId="10" fillId="0" borderId="0" xfId="0" applyNumberFormat="1" applyFont="1" applyBorder="1" applyAlignment="1">
      <alignment horizontal="left"/>
    </xf>
    <xf numFmtId="167" fontId="13" fillId="0" borderId="0" xfId="0" applyFont="1" applyFill="1" applyAlignment="1">
      <alignment horizontal="left" wrapText="1"/>
    </xf>
    <xf numFmtId="0" fontId="65" fillId="12" borderId="0" xfId="0" applyNumberFormat="1" applyFont="1" applyFill="1" applyAlignment="1"/>
    <xf numFmtId="0" fontId="65" fillId="0" borderId="0" xfId="0" applyNumberFormat="1" applyFont="1" applyFill="1" applyAlignment="1"/>
    <xf numFmtId="0" fontId="65" fillId="9" borderId="0" xfId="0" applyNumberFormat="1" applyFont="1" applyFill="1" applyAlignment="1"/>
    <xf numFmtId="167" fontId="27" fillId="0" borderId="0" xfId="0" applyFont="1" applyFill="1" applyAlignment="1"/>
    <xf numFmtId="167" fontId="0" fillId="12" borderId="0" xfId="0" applyFill="1" applyAlignment="1"/>
    <xf numFmtId="166" fontId="45" fillId="0" borderId="13" xfId="2" applyNumberFormat="1" applyFont="1" applyFill="1" applyBorder="1" applyAlignment="1">
      <alignment horizontal="left" vertical="top"/>
    </xf>
    <xf numFmtId="166" fontId="44" fillId="0" borderId="12" xfId="0" applyNumberFormat="1" applyFont="1" applyFill="1" applyBorder="1" applyAlignment="1">
      <alignment horizontal="left" vertical="top"/>
    </xf>
    <xf numFmtId="166" fontId="45" fillId="0" borderId="12" xfId="0" applyNumberFormat="1" applyFont="1" applyFill="1" applyBorder="1" applyAlignment="1">
      <alignment horizontal="left" vertical="top"/>
    </xf>
    <xf numFmtId="166" fontId="13" fillId="16" borderId="12" xfId="0" applyNumberFormat="1" applyFont="1" applyFill="1" applyBorder="1" applyAlignment="1">
      <alignment horizontal="left" vertical="top"/>
    </xf>
    <xf numFmtId="166" fontId="45" fillId="0" borderId="14" xfId="0" applyNumberFormat="1" applyFont="1" applyFill="1" applyBorder="1" applyAlignment="1">
      <alignment horizontal="left" vertical="top"/>
    </xf>
    <xf numFmtId="166" fontId="44" fillId="0" borderId="4" xfId="0" applyNumberFormat="1" applyFont="1" applyFill="1" applyBorder="1" applyAlignment="1">
      <alignment horizontal="left" vertical="top"/>
    </xf>
    <xf numFmtId="166" fontId="44" fillId="0" borderId="0" xfId="0" applyNumberFormat="1" applyFont="1" applyFill="1" applyBorder="1" applyAlignment="1">
      <alignment horizontal="left" vertical="top"/>
    </xf>
    <xf numFmtId="166" fontId="38" fillId="16" borderId="0" xfId="0" applyNumberFormat="1" applyFont="1" applyFill="1" applyBorder="1" applyAlignment="1">
      <alignment horizontal="left" vertical="top"/>
    </xf>
    <xf numFmtId="166" fontId="44" fillId="0" borderId="5" xfId="0" applyNumberFormat="1" applyFont="1" applyFill="1" applyBorder="1" applyAlignment="1">
      <alignment horizontal="left" vertical="top"/>
    </xf>
    <xf numFmtId="166" fontId="45" fillId="0" borderId="4" xfId="0" applyNumberFormat="1" applyFont="1" applyFill="1" applyBorder="1" applyAlignment="1">
      <alignment horizontal="left" vertical="top"/>
    </xf>
    <xf numFmtId="166" fontId="45" fillId="0" borderId="0" xfId="0" applyNumberFormat="1" applyFont="1" applyFill="1" applyBorder="1" applyAlignment="1">
      <alignment horizontal="left" vertical="top"/>
    </xf>
    <xf numFmtId="166" fontId="13" fillId="16" borderId="0" xfId="0" applyNumberFormat="1" applyFont="1" applyFill="1" applyBorder="1" applyAlignment="1">
      <alignment horizontal="left" vertical="top"/>
    </xf>
    <xf numFmtId="166" fontId="45" fillId="0" borderId="5" xfId="0" applyNumberFormat="1" applyFont="1" applyFill="1" applyBorder="1" applyAlignment="1">
      <alignment horizontal="left" vertical="top"/>
    </xf>
    <xf numFmtId="166" fontId="46" fillId="0" borderId="4" xfId="0" applyNumberFormat="1" applyFont="1" applyFill="1" applyBorder="1" applyAlignment="1">
      <alignment horizontal="left" vertical="top"/>
    </xf>
    <xf numFmtId="166" fontId="46" fillId="16" borderId="0" xfId="0" applyNumberFormat="1" applyFont="1" applyFill="1" applyBorder="1" applyAlignment="1">
      <alignment horizontal="left" vertical="top"/>
    </xf>
    <xf numFmtId="166" fontId="46" fillId="0" borderId="6" xfId="0" applyNumberFormat="1" applyFont="1" applyFill="1" applyBorder="1" applyAlignment="1">
      <alignment horizontal="left" vertical="top"/>
    </xf>
    <xf numFmtId="166" fontId="44" fillId="0" borderId="7" xfId="0" applyNumberFormat="1" applyFont="1" applyFill="1" applyBorder="1" applyAlignment="1">
      <alignment horizontal="left" vertical="top"/>
    </xf>
    <xf numFmtId="166" fontId="46" fillId="0" borderId="7" xfId="0" applyNumberFormat="1" applyFont="1" applyFill="1" applyBorder="1" applyAlignment="1">
      <alignment horizontal="left" vertical="top"/>
    </xf>
    <xf numFmtId="166" fontId="46" fillId="16" borderId="7" xfId="0" applyNumberFormat="1" applyFont="1" applyFill="1" applyBorder="1" applyAlignment="1">
      <alignment horizontal="left" vertical="top"/>
    </xf>
    <xf numFmtId="166" fontId="45" fillId="0" borderId="8" xfId="0" applyNumberFormat="1" applyFont="1" applyFill="1" applyBorder="1" applyAlignment="1">
      <alignment horizontal="left" vertical="top"/>
    </xf>
    <xf numFmtId="9" fontId="27" fillId="0" borderId="33" xfId="0" applyNumberFormat="1" applyFont="1" applyFill="1" applyBorder="1" applyAlignment="1">
      <alignment horizontal="left"/>
    </xf>
    <xf numFmtId="9" fontId="27" fillId="0" borderId="16" xfId="0" applyNumberFormat="1" applyFont="1" applyFill="1" applyBorder="1" applyAlignment="1">
      <alignment horizontal="left"/>
    </xf>
    <xf numFmtId="9" fontId="79" fillId="8" borderId="16" xfId="0" applyNumberFormat="1" applyFont="1" applyFill="1" applyBorder="1" applyAlignment="1">
      <alignment horizontal="left"/>
    </xf>
    <xf numFmtId="9" fontId="27" fillId="0" borderId="22" xfId="0" applyNumberFormat="1" applyFont="1" applyFill="1" applyBorder="1" applyAlignment="1">
      <alignment horizontal="left"/>
    </xf>
    <xf numFmtId="9" fontId="27" fillId="0" borderId="0" xfId="0" applyNumberFormat="1" applyFont="1" applyFill="1" applyBorder="1" applyAlignment="1">
      <alignment horizontal="left"/>
    </xf>
    <xf numFmtId="9" fontId="79" fillId="8" borderId="0" xfId="0" applyNumberFormat="1" applyFont="1" applyFill="1" applyBorder="1" applyAlignment="1">
      <alignment horizontal="left"/>
    </xf>
    <xf numFmtId="9" fontId="27" fillId="0" borderId="0" xfId="0" applyNumberFormat="1" applyFont="1" applyFill="1" applyBorder="1" applyAlignment="1">
      <alignment horizontal="left" vertical="top"/>
    </xf>
    <xf numFmtId="9" fontId="27" fillId="0" borderId="57" xfId="0" applyNumberFormat="1" applyFont="1" applyFill="1" applyBorder="1" applyAlignment="1">
      <alignment horizontal="left"/>
    </xf>
    <xf numFmtId="9" fontId="27" fillId="0" borderId="28" xfId="0" applyNumberFormat="1" applyFont="1" applyFill="1" applyBorder="1" applyAlignment="1">
      <alignment horizontal="left"/>
    </xf>
    <xf numFmtId="9" fontId="79" fillId="8" borderId="28" xfId="0" applyNumberFormat="1" applyFont="1" applyFill="1" applyBorder="1" applyAlignment="1">
      <alignment horizontal="left"/>
    </xf>
    <xf numFmtId="9" fontId="27" fillId="0" borderId="28" xfId="0" applyNumberFormat="1" applyFont="1" applyFill="1" applyBorder="1" applyAlignment="1">
      <alignment horizontal="left" vertical="top"/>
    </xf>
    <xf numFmtId="9" fontId="27" fillId="0" borderId="60" xfId="0" applyNumberFormat="1" applyFont="1" applyFill="1" applyBorder="1" applyAlignment="1">
      <alignment horizontal="left" vertical="top"/>
    </xf>
    <xf numFmtId="9" fontId="27" fillId="0" borderId="34" xfId="0" applyNumberFormat="1" applyFont="1" applyFill="1" applyBorder="1" applyAlignment="1">
      <alignment horizontal="left"/>
    </xf>
    <xf numFmtId="9" fontId="27" fillId="0" borderId="5" xfId="0" applyNumberFormat="1" applyFont="1" applyFill="1" applyBorder="1" applyAlignment="1">
      <alignment horizontal="left"/>
    </xf>
    <xf numFmtId="9" fontId="27" fillId="0" borderId="5" xfId="0" applyNumberFormat="1" applyFont="1" applyFill="1" applyBorder="1" applyAlignment="1">
      <alignment horizontal="left" vertical="top"/>
    </xf>
    <xf numFmtId="167" fontId="13" fillId="0" borderId="4" xfId="0" applyFont="1" applyFill="1" applyBorder="1" applyAlignment="1">
      <alignment horizontal="left" vertical="top"/>
    </xf>
    <xf numFmtId="14" fontId="75" fillId="0" borderId="0" xfId="5" applyNumberFormat="1" applyFont="1" applyFill="1" applyBorder="1" applyAlignment="1">
      <alignment horizontal="right"/>
    </xf>
    <xf numFmtId="0" fontId="13" fillId="0" borderId="16" xfId="0" applyNumberFormat="1" applyFont="1" applyBorder="1" applyAlignment="1">
      <alignment vertical="top"/>
    </xf>
    <xf numFmtId="0" fontId="13" fillId="0" borderId="17" xfId="0" applyNumberFormat="1" applyFont="1" applyBorder="1" applyAlignment="1">
      <alignment vertical="top"/>
    </xf>
    <xf numFmtId="0" fontId="13" fillId="0" borderId="18" xfId="0" applyNumberFormat="1" applyFont="1" applyFill="1" applyBorder="1" applyAlignment="1">
      <alignment horizontal="left" vertical="top"/>
    </xf>
    <xf numFmtId="0" fontId="13" fillId="0" borderId="20" xfId="0" applyNumberFormat="1" applyFont="1" applyFill="1" applyBorder="1" applyAlignment="1">
      <alignment horizontal="left" vertical="top"/>
    </xf>
    <xf numFmtId="0" fontId="45" fillId="0" borderId="13" xfId="0" applyNumberFormat="1" applyFont="1" applyFill="1" applyBorder="1" applyAlignment="1">
      <alignment horizontal="left" vertical="top"/>
    </xf>
    <xf numFmtId="0" fontId="44" fillId="0" borderId="12" xfId="0" applyNumberFormat="1" applyFont="1" applyFill="1" applyBorder="1" applyAlignment="1">
      <alignment horizontal="left" vertical="top"/>
    </xf>
    <xf numFmtId="0" fontId="45" fillId="0" borderId="12" xfId="0" applyNumberFormat="1" applyFont="1" applyFill="1" applyBorder="1" applyAlignment="1">
      <alignment horizontal="left" vertical="top"/>
    </xf>
    <xf numFmtId="0" fontId="13" fillId="0" borderId="12" xfId="0" applyNumberFormat="1" applyFont="1" applyFill="1" applyBorder="1" applyAlignment="1">
      <alignment horizontal="left" vertical="top"/>
    </xf>
    <xf numFmtId="0" fontId="45" fillId="0" borderId="23" xfId="0" applyNumberFormat="1" applyFont="1" applyFill="1" applyBorder="1" applyAlignment="1">
      <alignment horizontal="left" vertical="top"/>
    </xf>
    <xf numFmtId="0" fontId="13" fillId="0" borderId="22" xfId="0" applyNumberFormat="1" applyFont="1" applyFill="1" applyBorder="1" applyAlignment="1">
      <alignment horizontal="left" vertical="top"/>
    </xf>
    <xf numFmtId="2" fontId="38" fillId="9" borderId="67" xfId="0" applyNumberFormat="1" applyFont="1" applyFill="1" applyBorder="1" applyAlignment="1">
      <alignment horizontal="left" vertical="top"/>
    </xf>
    <xf numFmtId="2" fontId="44" fillId="0" borderId="68" xfId="0" applyNumberFormat="1" applyFont="1" applyFill="1" applyBorder="1" applyAlignment="1">
      <alignment horizontal="left" vertical="top"/>
    </xf>
    <xf numFmtId="2" fontId="44" fillId="0" borderId="69" xfId="0" applyNumberFormat="1" applyFont="1" applyFill="1" applyBorder="1" applyAlignment="1">
      <alignment horizontal="left" vertical="top"/>
    </xf>
    <xf numFmtId="2" fontId="38" fillId="16" borderId="69" xfId="0" applyNumberFormat="1" applyFont="1" applyFill="1" applyBorder="1" applyAlignment="1">
      <alignment horizontal="left" vertical="top"/>
    </xf>
    <xf numFmtId="2" fontId="45" fillId="0" borderId="70" xfId="0" applyNumberFormat="1" applyFont="1" applyFill="1" applyBorder="1" applyAlignment="1">
      <alignment horizontal="left" vertical="top"/>
    </xf>
    <xf numFmtId="1" fontId="76" fillId="0" borderId="71" xfId="0" applyNumberFormat="1" applyFont="1" applyBorder="1" applyAlignment="1">
      <alignment vertical="top"/>
    </xf>
    <xf numFmtId="167" fontId="9" fillId="17" borderId="4" xfId="3" applyFont="1" applyFill="1" applyBorder="1" applyAlignment="1">
      <alignment horizontal="left" vertical="top"/>
    </xf>
    <xf numFmtId="167" fontId="7" fillId="17" borderId="0" xfId="3" applyFont="1" applyFill="1" applyBorder="1" applyAlignment="1">
      <alignment horizontal="left" vertical="top"/>
    </xf>
    <xf numFmtId="167" fontId="9" fillId="17" borderId="0" xfId="3" applyNumberFormat="1" applyFont="1" applyFill="1" applyBorder="1" applyAlignment="1">
      <alignment horizontal="left" vertical="top"/>
    </xf>
    <xf numFmtId="167" fontId="9" fillId="17" borderId="0" xfId="3" applyFont="1" applyFill="1" applyBorder="1" applyAlignment="1">
      <alignment horizontal="left" vertical="top"/>
    </xf>
    <xf numFmtId="167" fontId="9" fillId="17" borderId="0" xfId="3" applyFont="1" applyFill="1" applyBorder="1" applyAlignment="1">
      <alignment horizontal="left" vertical="top" wrapText="1"/>
    </xf>
    <xf numFmtId="167" fontId="9" fillId="17" borderId="0" xfId="3" applyFont="1" applyFill="1" applyBorder="1" applyAlignment="1">
      <alignment horizontal="center" vertical="top"/>
    </xf>
    <xf numFmtId="167" fontId="14" fillId="17" borderId="0" xfId="3" applyFont="1" applyFill="1" applyBorder="1" applyAlignment="1">
      <alignment horizontal="center" vertical="top"/>
    </xf>
    <xf numFmtId="167" fontId="13" fillId="17" borderId="0" xfId="3" applyFont="1" applyFill="1" applyBorder="1" applyAlignment="1">
      <alignment horizontal="left" vertical="top"/>
    </xf>
    <xf numFmtId="0" fontId="9" fillId="17" borderId="0" xfId="3" applyNumberFormat="1" applyFont="1" applyFill="1" applyBorder="1" applyAlignment="1">
      <alignment horizontal="left" vertical="top"/>
    </xf>
    <xf numFmtId="167" fontId="13" fillId="17" borderId="3" xfId="0" applyFont="1" applyFill="1" applyBorder="1" applyAlignment="1">
      <alignment vertical="top"/>
    </xf>
    <xf numFmtId="167" fontId="13" fillId="17" borderId="0" xfId="0" applyFont="1" applyFill="1" applyBorder="1" applyAlignment="1">
      <alignment horizontal="right" vertical="top"/>
    </xf>
    <xf numFmtId="167" fontId="13" fillId="17" borderId="4" xfId="0" applyFont="1" applyFill="1" applyBorder="1" applyAlignment="1">
      <alignment horizontal="left" vertical="top"/>
    </xf>
    <xf numFmtId="167" fontId="42" fillId="17" borderId="0" xfId="0" applyFont="1" applyFill="1" applyBorder="1" applyAlignment="1">
      <alignment horizontal="left" vertical="top"/>
    </xf>
    <xf numFmtId="167" fontId="13" fillId="17" borderId="0" xfId="0" applyFont="1" applyFill="1" applyBorder="1" applyAlignment="1">
      <alignment horizontal="left" vertical="top"/>
    </xf>
    <xf numFmtId="167" fontId="0" fillId="17" borderId="0" xfId="0" applyFill="1" applyBorder="1" applyAlignment="1">
      <alignment horizontal="left" vertical="top"/>
    </xf>
    <xf numFmtId="167" fontId="17" fillId="17" borderId="0" xfId="0" applyFont="1" applyFill="1" applyBorder="1" applyAlignment="1">
      <alignment horizontal="left" vertical="top"/>
    </xf>
    <xf numFmtId="167" fontId="0" fillId="17" borderId="0" xfId="0" applyFill="1" applyBorder="1" applyAlignment="1">
      <alignment vertical="top"/>
    </xf>
    <xf numFmtId="167" fontId="13" fillId="17" borderId="7" xfId="0" applyFont="1" applyFill="1" applyBorder="1" applyAlignment="1">
      <alignment vertical="top"/>
    </xf>
    <xf numFmtId="167" fontId="14" fillId="17" borderId="7" xfId="0" applyFont="1" applyFill="1" applyBorder="1" applyAlignment="1">
      <alignment vertical="top"/>
    </xf>
    <xf numFmtId="167" fontId="14" fillId="17" borderId="0" xfId="0" applyFont="1" applyFill="1" applyBorder="1" applyAlignment="1">
      <alignment vertical="top"/>
    </xf>
    <xf numFmtId="167" fontId="13" fillId="17" borderId="0" xfId="0" applyFont="1" applyFill="1" applyBorder="1" applyAlignment="1">
      <alignment vertical="top"/>
    </xf>
    <xf numFmtId="167" fontId="25" fillId="17" borderId="0" xfId="0" applyFont="1" applyFill="1" applyBorder="1" applyAlignment="1">
      <alignment vertical="top"/>
    </xf>
    <xf numFmtId="167" fontId="26" fillId="17" borderId="0" xfId="0" applyFont="1" applyFill="1" applyBorder="1" applyAlignment="1">
      <alignment vertical="top"/>
    </xf>
    <xf numFmtId="167" fontId="17" fillId="17" borderId="0" xfId="0" applyFont="1" applyFill="1" applyBorder="1" applyAlignment="1">
      <alignment vertical="top"/>
    </xf>
    <xf numFmtId="167" fontId="15" fillId="17" borderId="0" xfId="0" applyFont="1" applyFill="1" applyBorder="1" applyAlignment="1">
      <alignment vertical="top"/>
    </xf>
    <xf numFmtId="167" fontId="18" fillId="17" borderId="0" xfId="0" applyFont="1" applyFill="1" applyBorder="1" applyAlignment="1">
      <alignment vertical="top"/>
    </xf>
    <xf numFmtId="0" fontId="27" fillId="17" borderId="0" xfId="0" applyNumberFormat="1" applyFont="1" applyFill="1" applyBorder="1" applyAlignment="1">
      <alignment vertical="top"/>
    </xf>
    <xf numFmtId="167" fontId="27" fillId="17" borderId="0" xfId="0" applyFont="1" applyFill="1" applyBorder="1" applyAlignment="1">
      <alignment vertical="top"/>
    </xf>
    <xf numFmtId="167" fontId="0" fillId="17" borderId="0" xfId="0" applyFill="1" applyBorder="1" applyAlignment="1">
      <alignment horizontal="left"/>
    </xf>
    <xf numFmtId="167" fontId="0" fillId="17" borderId="0" xfId="0" applyFill="1" applyAlignment="1">
      <alignment horizontal="left"/>
    </xf>
    <xf numFmtId="167" fontId="14" fillId="17" borderId="0" xfId="0" applyFont="1" applyFill="1" applyBorder="1" applyAlignment="1">
      <alignment horizontal="left"/>
    </xf>
    <xf numFmtId="167" fontId="14" fillId="17" borderId="0" xfId="0" applyFont="1" applyFill="1" applyAlignment="1">
      <alignment horizontal="left"/>
    </xf>
    <xf numFmtId="2" fontId="0" fillId="17" borderId="0" xfId="0" applyNumberFormat="1" applyFill="1" applyBorder="1" applyAlignment="1">
      <alignment horizontal="left"/>
    </xf>
    <xf numFmtId="2" fontId="0" fillId="17" borderId="0" xfId="0" applyNumberFormat="1" applyFill="1" applyAlignment="1">
      <alignment horizontal="left"/>
    </xf>
    <xf numFmtId="10" fontId="32" fillId="11" borderId="2" xfId="0" applyNumberFormat="1" applyFont="1" applyFill="1" applyBorder="1" applyAlignment="1">
      <alignment horizontal="left" vertical="top"/>
    </xf>
    <xf numFmtId="10" fontId="54" fillId="11" borderId="0" xfId="2" quotePrefix="1" applyNumberFormat="1" applyFont="1" applyFill="1" applyBorder="1" applyAlignment="1">
      <alignment horizontal="left" vertical="top"/>
    </xf>
    <xf numFmtId="10" fontId="32" fillId="11" borderId="11" xfId="2" quotePrefix="1" applyNumberFormat="1" applyFont="1" applyFill="1" applyBorder="1" applyAlignment="1">
      <alignment horizontal="left" vertical="top"/>
    </xf>
    <xf numFmtId="0" fontId="14" fillId="0" borderId="11" xfId="0" applyNumberFormat="1" applyFont="1" applyBorder="1" applyAlignment="1">
      <alignment horizontal="left" vertical="top"/>
    </xf>
    <xf numFmtId="10" fontId="47" fillId="0" borderId="4" xfId="0" applyNumberFormat="1" applyFont="1" applyFill="1" applyBorder="1" applyAlignment="1">
      <alignment horizontal="left" vertical="top"/>
    </xf>
    <xf numFmtId="10" fontId="47" fillId="0" borderId="0" xfId="2" applyNumberFormat="1" applyFont="1" applyFill="1" applyBorder="1" applyAlignment="1">
      <alignment horizontal="left" vertical="top"/>
    </xf>
    <xf numFmtId="10" fontId="47" fillId="0" borderId="5" xfId="0" applyNumberFormat="1" applyFont="1" applyFill="1" applyBorder="1" applyAlignment="1">
      <alignment horizontal="left" vertical="top"/>
    </xf>
    <xf numFmtId="167" fontId="13" fillId="17" borderId="0" xfId="0" applyNumberFormat="1" applyFont="1" applyFill="1" applyBorder="1" applyAlignment="1">
      <alignment horizontal="left" vertical="top"/>
    </xf>
    <xf numFmtId="2" fontId="13" fillId="17" borderId="0" xfId="0" applyNumberFormat="1" applyFont="1" applyFill="1" applyBorder="1" applyAlignment="1">
      <alignment horizontal="left" vertical="top"/>
    </xf>
    <xf numFmtId="167" fontId="13" fillId="17" borderId="0" xfId="0" applyFont="1" applyFill="1" applyBorder="1" applyAlignment="1">
      <alignment horizontal="left" vertical="top" wrapText="1"/>
    </xf>
    <xf numFmtId="167" fontId="42" fillId="17" borderId="0" xfId="0" applyFont="1" applyFill="1" applyBorder="1" applyAlignment="1">
      <alignment horizontal="left" vertical="top" wrapText="1"/>
    </xf>
    <xf numFmtId="10" fontId="32" fillId="11" borderId="56" xfId="2" quotePrefix="1" applyNumberFormat="1" applyFont="1" applyFill="1" applyBorder="1" applyAlignment="1">
      <alignment horizontal="left" vertical="top"/>
    </xf>
    <xf numFmtId="10" fontId="32" fillId="11" borderId="43" xfId="2" quotePrefix="1" applyNumberFormat="1" applyFont="1" applyFill="1" applyBorder="1" applyAlignment="1">
      <alignment horizontal="left" vertical="top"/>
    </xf>
    <xf numFmtId="167" fontId="0" fillId="17" borderId="0" xfId="0" applyFill="1" applyBorder="1" applyAlignment="1"/>
    <xf numFmtId="167" fontId="0" fillId="17" borderId="0" xfId="0" applyFill="1" applyAlignment="1"/>
    <xf numFmtId="167" fontId="13" fillId="17" borderId="0" xfId="0" applyFont="1" applyFill="1" applyBorder="1" applyAlignment="1"/>
    <xf numFmtId="0" fontId="0" fillId="0" borderId="0" xfId="0" applyNumberFormat="1" applyFill="1" applyAlignment="1"/>
    <xf numFmtId="167" fontId="27" fillId="17" borderId="3" xfId="0" applyFont="1" applyFill="1" applyBorder="1" applyAlignment="1">
      <alignment vertical="top"/>
    </xf>
    <xf numFmtId="2" fontId="13" fillId="17" borderId="0" xfId="0" quotePrefix="1" applyNumberFormat="1" applyFont="1" applyFill="1" applyBorder="1" applyAlignment="1">
      <alignment horizontal="left" vertical="top"/>
    </xf>
    <xf numFmtId="167" fontId="27" fillId="17" borderId="4" xfId="0" applyFont="1" applyFill="1" applyBorder="1" applyAlignment="1">
      <alignment vertical="top"/>
    </xf>
    <xf numFmtId="9" fontId="47" fillId="17" borderId="0" xfId="2" applyFont="1" applyFill="1" applyBorder="1" applyAlignment="1">
      <alignment horizontal="left" vertical="top"/>
    </xf>
    <xf numFmtId="167" fontId="27" fillId="17" borderId="0" xfId="0" applyNumberFormat="1" applyFont="1" applyFill="1" applyBorder="1" applyAlignment="1">
      <alignment horizontal="left" vertical="top"/>
    </xf>
    <xf numFmtId="0" fontId="67" fillId="17" borderId="0" xfId="0" applyNumberFormat="1" applyFont="1" applyFill="1" applyBorder="1" applyAlignment="1">
      <alignment vertical="top"/>
    </xf>
    <xf numFmtId="0" fontId="6" fillId="0" borderId="0" xfId="0" applyNumberFormat="1" applyFont="1" applyBorder="1" applyAlignment="1">
      <alignment horizontal="left"/>
    </xf>
    <xf numFmtId="167" fontId="13" fillId="6" borderId="72" xfId="0" applyFont="1" applyFill="1" applyBorder="1" applyAlignment="1">
      <alignment vertical="top"/>
    </xf>
    <xf numFmtId="167" fontId="13" fillId="0" borderId="72" xfId="0" applyNumberFormat="1" applyFont="1" applyFill="1" applyBorder="1" applyAlignment="1" applyProtection="1">
      <alignment horizontal="left"/>
      <protection locked="0"/>
    </xf>
    <xf numFmtId="167" fontId="0" fillId="0" borderId="73" xfId="0" applyFill="1" applyBorder="1" applyAlignment="1">
      <alignment vertical="top"/>
    </xf>
    <xf numFmtId="167" fontId="26" fillId="0" borderId="73" xfId="0" applyFont="1" applyFill="1" applyBorder="1" applyAlignment="1">
      <alignment vertical="top"/>
    </xf>
    <xf numFmtId="167" fontId="0" fillId="0" borderId="73" xfId="0" applyBorder="1" applyAlignment="1">
      <alignment vertical="top"/>
    </xf>
    <xf numFmtId="167" fontId="13" fillId="0" borderId="73" xfId="0" applyFont="1" applyFill="1" applyBorder="1" applyAlignment="1">
      <alignment vertical="top"/>
    </xf>
    <xf numFmtId="167" fontId="38" fillId="0" borderId="72" xfId="0" applyNumberFormat="1" applyFont="1" applyFill="1" applyBorder="1" applyAlignment="1" applyProtection="1">
      <alignment horizontal="left"/>
      <protection locked="0"/>
    </xf>
    <xf numFmtId="167" fontId="15" fillId="0" borderId="73" xfId="0" applyFont="1" applyBorder="1" applyAlignment="1">
      <alignment vertical="top"/>
    </xf>
    <xf numFmtId="167" fontId="13" fillId="0" borderId="74" xfId="0" applyFont="1" applyBorder="1" applyAlignment="1">
      <alignment vertical="top"/>
    </xf>
    <xf numFmtId="166" fontId="87" fillId="0" borderId="10" xfId="2" applyNumberFormat="1" applyFont="1" applyFill="1" applyBorder="1" applyAlignment="1">
      <alignment horizontal="left" vertical="top"/>
    </xf>
    <xf numFmtId="167" fontId="13" fillId="6" borderId="9" xfId="0" applyFont="1" applyFill="1" applyBorder="1" applyAlignment="1">
      <alignment vertical="top"/>
    </xf>
    <xf numFmtId="166" fontId="13" fillId="0" borderId="75" xfId="2" applyNumberFormat="1" applyFont="1" applyFill="1" applyBorder="1" applyAlignment="1">
      <alignment horizontal="left" vertical="top"/>
    </xf>
    <xf numFmtId="166" fontId="13" fillId="0" borderId="76" xfId="2" applyNumberFormat="1" applyFont="1" applyFill="1" applyBorder="1" applyAlignment="1">
      <alignment horizontal="left" vertical="top"/>
    </xf>
    <xf numFmtId="166" fontId="13" fillId="9" borderId="76" xfId="2" applyNumberFormat="1" applyFont="1" applyFill="1" applyBorder="1" applyAlignment="1">
      <alignment horizontal="left" vertical="top"/>
    </xf>
    <xf numFmtId="166" fontId="13" fillId="9" borderId="77" xfId="0" applyNumberFormat="1" applyFont="1" applyFill="1" applyBorder="1" applyAlignment="1">
      <alignment horizontal="left" vertical="top"/>
    </xf>
    <xf numFmtId="166" fontId="65" fillId="0" borderId="77" xfId="2" applyNumberFormat="1" applyFont="1" applyBorder="1" applyAlignment="1">
      <alignment horizontal="left" vertical="top"/>
    </xf>
    <xf numFmtId="166" fontId="13" fillId="0" borderId="75" xfId="0" applyNumberFormat="1" applyFont="1" applyBorder="1" applyAlignment="1">
      <alignment vertical="top"/>
    </xf>
    <xf numFmtId="166" fontId="59" fillId="0" borderId="75" xfId="2" applyNumberFormat="1" applyFont="1" applyFill="1" applyBorder="1" applyAlignment="1">
      <alignment horizontal="left" vertical="top"/>
    </xf>
    <xf numFmtId="166" fontId="13" fillId="0" borderId="75" xfId="2" applyNumberFormat="1" applyFont="1" applyBorder="1" applyAlignment="1">
      <alignment horizontal="left" vertical="top"/>
    </xf>
    <xf numFmtId="167" fontId="15" fillId="0" borderId="0" xfId="0" applyFont="1" applyFill="1" applyBorder="1" applyAlignment="1">
      <alignment vertical="top"/>
    </xf>
    <xf numFmtId="167" fontId="13" fillId="0" borderId="43" xfId="0" applyFont="1" applyFill="1" applyBorder="1" applyAlignment="1">
      <alignment vertical="top"/>
    </xf>
    <xf numFmtId="167" fontId="13" fillId="0" borderId="49" xfId="0" applyFont="1" applyFill="1" applyBorder="1" applyAlignment="1">
      <alignment vertical="top"/>
    </xf>
    <xf numFmtId="166" fontId="38" fillId="0" borderId="75" xfId="2" applyNumberFormat="1" applyFont="1" applyFill="1" applyBorder="1" applyAlignment="1">
      <alignment horizontal="left" vertical="top"/>
    </xf>
    <xf numFmtId="167" fontId="38" fillId="0" borderId="0" xfId="0" applyFont="1" applyFill="1" applyBorder="1" applyAlignment="1">
      <alignment vertical="top"/>
    </xf>
    <xf numFmtId="167" fontId="38" fillId="0" borderId="0" xfId="0" applyFont="1" applyFill="1" applyBorder="1" applyAlignment="1">
      <alignment horizontal="right" vertical="top"/>
    </xf>
    <xf numFmtId="167" fontId="15" fillId="9" borderId="0" xfId="0" applyFont="1" applyFill="1" applyBorder="1" applyAlignment="1">
      <alignment vertical="top"/>
    </xf>
    <xf numFmtId="167" fontId="65" fillId="9" borderId="0" xfId="0" applyFont="1" applyFill="1" applyBorder="1" applyAlignment="1">
      <alignment vertical="top"/>
    </xf>
    <xf numFmtId="167" fontId="87" fillId="9" borderId="0" xfId="0" applyFont="1" applyFill="1" applyBorder="1" applyAlignment="1">
      <alignment vertical="top"/>
    </xf>
    <xf numFmtId="166" fontId="87" fillId="0" borderId="10" xfId="2" applyNumberFormat="1" applyFont="1" applyBorder="1" applyAlignment="1">
      <alignment horizontal="left" vertical="top"/>
    </xf>
    <xf numFmtId="166" fontId="89" fillId="0" borderId="10" xfId="2" applyNumberFormat="1" applyFont="1" applyBorder="1" applyAlignment="1">
      <alignment horizontal="left" vertical="top"/>
    </xf>
    <xf numFmtId="167" fontId="14" fillId="14" borderId="75" xfId="0" applyFont="1" applyFill="1" applyBorder="1" applyAlignment="1">
      <alignment vertical="top"/>
    </xf>
    <xf numFmtId="167" fontId="32" fillId="11" borderId="8" xfId="0" applyNumberFormat="1" applyFont="1" applyFill="1" applyBorder="1" applyAlignment="1">
      <alignment horizontal="left" vertical="top"/>
    </xf>
    <xf numFmtId="166" fontId="90" fillId="0" borderId="10" xfId="2" applyNumberFormat="1" applyFont="1" applyBorder="1" applyAlignment="1">
      <alignment horizontal="left" vertical="top"/>
    </xf>
    <xf numFmtId="166" fontId="91" fillId="0" borderId="10" xfId="2" applyNumberFormat="1" applyFont="1" applyFill="1" applyBorder="1" applyAlignment="1">
      <alignment horizontal="left" vertical="top"/>
    </xf>
    <xf numFmtId="166" fontId="90" fillId="0" borderId="7" xfId="2" applyNumberFormat="1" applyFont="1" applyBorder="1" applyAlignment="1">
      <alignment horizontal="left" vertical="top"/>
    </xf>
    <xf numFmtId="166" fontId="42" fillId="0" borderId="10" xfId="2" applyNumberFormat="1" applyFont="1" applyFill="1" applyBorder="1" applyAlignment="1">
      <alignment horizontal="left" vertical="top"/>
    </xf>
    <xf numFmtId="166" fontId="91" fillId="0" borderId="12" xfId="2" applyNumberFormat="1" applyFont="1" applyFill="1" applyBorder="1" applyAlignment="1">
      <alignment horizontal="left" vertical="top"/>
    </xf>
    <xf numFmtId="166" fontId="42" fillId="0" borderId="10" xfId="2" applyNumberFormat="1" applyFont="1" applyBorder="1" applyAlignment="1">
      <alignment horizontal="left" vertical="top"/>
    </xf>
    <xf numFmtId="166" fontId="90" fillId="9" borderId="12" xfId="2" applyNumberFormat="1" applyFont="1" applyFill="1" applyBorder="1" applyAlignment="1">
      <alignment horizontal="left" vertical="top"/>
    </xf>
    <xf numFmtId="166" fontId="42" fillId="9" borderId="7" xfId="0" applyNumberFormat="1" applyFont="1" applyFill="1" applyBorder="1" applyAlignment="1">
      <alignment horizontal="left" vertical="top"/>
    </xf>
    <xf numFmtId="166" fontId="91" fillId="9" borderId="12" xfId="2" applyNumberFormat="1" applyFont="1" applyFill="1" applyBorder="1" applyAlignment="1">
      <alignment horizontal="left" vertical="top"/>
    </xf>
    <xf numFmtId="166" fontId="94" fillId="0" borderId="7" xfId="2" applyNumberFormat="1" applyFont="1" applyBorder="1" applyAlignment="1">
      <alignment horizontal="left" vertical="top"/>
    </xf>
    <xf numFmtId="167" fontId="27" fillId="6" borderId="2" xfId="0" applyFont="1" applyFill="1" applyBorder="1" applyAlignment="1">
      <alignment vertical="top"/>
    </xf>
    <xf numFmtId="167" fontId="27" fillId="6" borderId="9" xfId="0" applyFont="1" applyFill="1" applyBorder="1" applyAlignment="1">
      <alignment vertical="top"/>
    </xf>
    <xf numFmtId="10" fontId="13" fillId="17" borderId="0" xfId="0" applyNumberFormat="1" applyFont="1" applyFill="1" applyBorder="1" applyAlignment="1">
      <alignment horizontal="left" vertical="top"/>
    </xf>
    <xf numFmtId="167" fontId="0" fillId="0" borderId="7" xfId="0" applyFill="1" applyBorder="1" applyAlignment="1">
      <alignment vertical="top"/>
    </xf>
    <xf numFmtId="10" fontId="13" fillId="17" borderId="0" xfId="2" applyNumberFormat="1" applyFont="1" applyFill="1" applyBorder="1" applyAlignment="1">
      <alignment horizontal="left" vertical="top"/>
    </xf>
    <xf numFmtId="10" fontId="13" fillId="17" borderId="0" xfId="2" quotePrefix="1" applyNumberFormat="1" applyFont="1" applyFill="1" applyBorder="1" applyAlignment="1">
      <alignment horizontal="left" vertical="top"/>
    </xf>
    <xf numFmtId="167" fontId="13" fillId="17" borderId="0" xfId="0" quotePrefix="1" applyFont="1" applyFill="1" applyBorder="1" applyAlignment="1">
      <alignment horizontal="left" vertical="top"/>
    </xf>
    <xf numFmtId="9" fontId="13" fillId="17" borderId="0" xfId="2" applyNumberFormat="1" applyFont="1" applyFill="1" applyBorder="1" applyAlignment="1">
      <alignment horizontal="left" vertical="top"/>
    </xf>
    <xf numFmtId="167" fontId="14" fillId="0" borderId="48" xfId="0" applyFont="1" applyBorder="1" applyAlignment="1">
      <alignment vertical="top"/>
    </xf>
    <xf numFmtId="0" fontId="13" fillId="0" borderId="50" xfId="0" applyNumberFormat="1" applyFont="1" applyBorder="1" applyAlignment="1">
      <alignment vertical="top"/>
    </xf>
    <xf numFmtId="166" fontId="89" fillId="0" borderId="75" xfId="2" applyNumberFormat="1" applyFont="1" applyFill="1" applyBorder="1" applyAlignment="1">
      <alignment horizontal="left" vertical="top"/>
    </xf>
    <xf numFmtId="167" fontId="13" fillId="0" borderId="50" xfId="0" quotePrefix="1" applyFont="1" applyBorder="1" applyAlignment="1">
      <alignment vertical="top"/>
    </xf>
    <xf numFmtId="167" fontId="13" fillId="0" borderId="9" xfId="0" applyNumberFormat="1" applyFont="1" applyFill="1" applyBorder="1" applyAlignment="1" applyProtection="1">
      <alignment horizontal="left"/>
      <protection locked="0"/>
    </xf>
    <xf numFmtId="167" fontId="13" fillId="0" borderId="13" xfId="0" applyNumberFormat="1" applyFont="1" applyFill="1" applyBorder="1" applyAlignment="1" applyProtection="1">
      <alignment horizontal="left"/>
      <protection locked="0"/>
    </xf>
    <xf numFmtId="167" fontId="13" fillId="9" borderId="13" xfId="0" applyNumberFormat="1" applyFont="1" applyFill="1" applyBorder="1" applyAlignment="1" applyProtection="1">
      <alignment horizontal="left"/>
      <protection locked="0"/>
    </xf>
    <xf numFmtId="167" fontId="13" fillId="9" borderId="6" xfId="0" applyFont="1" applyFill="1" applyBorder="1" applyAlignment="1">
      <alignment vertical="top"/>
    </xf>
    <xf numFmtId="167" fontId="13" fillId="0" borderId="6" xfId="0" applyNumberFormat="1" applyFont="1" applyFill="1" applyBorder="1" applyAlignment="1" applyProtection="1">
      <alignment horizontal="left"/>
      <protection locked="0"/>
    </xf>
    <xf numFmtId="167" fontId="38" fillId="0" borderId="9" xfId="0" applyNumberFormat="1" applyFont="1" applyFill="1" applyBorder="1" applyAlignment="1" applyProtection="1">
      <alignment horizontal="left"/>
      <protection locked="0"/>
    </xf>
    <xf numFmtId="167" fontId="14" fillId="14" borderId="81" xfId="0" applyFont="1" applyFill="1" applyBorder="1" applyAlignment="1">
      <alignment vertical="top"/>
    </xf>
    <xf numFmtId="166" fontId="13" fillId="0" borderId="82" xfId="2" applyNumberFormat="1" applyFont="1" applyFill="1" applyBorder="1" applyAlignment="1">
      <alignment horizontal="left" vertical="top"/>
    </xf>
    <xf numFmtId="166" fontId="13" fillId="0" borderId="83" xfId="2" applyNumberFormat="1" applyFont="1" applyFill="1" applyBorder="1" applyAlignment="1">
      <alignment horizontal="left" vertical="top"/>
    </xf>
    <xf numFmtId="166" fontId="13" fillId="9" borderId="83" xfId="2" applyNumberFormat="1" applyFont="1" applyFill="1" applyBorder="1" applyAlignment="1">
      <alignment horizontal="left" vertical="top"/>
    </xf>
    <xf numFmtId="166" fontId="13" fillId="9" borderId="84" xfId="0" applyNumberFormat="1" applyFont="1" applyFill="1" applyBorder="1" applyAlignment="1">
      <alignment horizontal="left" vertical="top"/>
    </xf>
    <xf numFmtId="166" fontId="65" fillId="0" borderId="84" xfId="2" applyNumberFormat="1" applyFont="1" applyBorder="1" applyAlignment="1">
      <alignment horizontal="left" vertical="top"/>
    </xf>
    <xf numFmtId="166" fontId="87" fillId="0" borderId="82" xfId="2" applyNumberFormat="1" applyFont="1" applyFill="1" applyBorder="1" applyAlignment="1">
      <alignment horizontal="left" vertical="top"/>
    </xf>
    <xf numFmtId="166" fontId="13" fillId="0" borderId="82" xfId="2" applyNumberFormat="1" applyFont="1" applyBorder="1" applyAlignment="1">
      <alignment horizontal="left" vertical="top"/>
    </xf>
    <xf numFmtId="166" fontId="88" fillId="0" borderId="82" xfId="2" applyNumberFormat="1" applyFont="1" applyBorder="1" applyAlignment="1">
      <alignment horizontal="left" vertical="top"/>
    </xf>
    <xf numFmtId="166" fontId="65" fillId="0" borderId="82" xfId="2" applyNumberFormat="1" applyFont="1" applyBorder="1" applyAlignment="1">
      <alignment horizontal="left" vertical="top"/>
    </xf>
    <xf numFmtId="166" fontId="38" fillId="0" borderId="82" xfId="2" applyNumberFormat="1" applyFont="1" applyBorder="1" applyAlignment="1">
      <alignment horizontal="left" vertical="top"/>
    </xf>
    <xf numFmtId="166" fontId="95" fillId="0" borderId="0" xfId="0" applyNumberFormat="1" applyFont="1" applyBorder="1" applyAlignment="1">
      <alignment horizontal="left" vertical="top"/>
    </xf>
    <xf numFmtId="167" fontId="95" fillId="0" borderId="0" xfId="0" applyFont="1" applyBorder="1" applyAlignment="1">
      <alignment vertical="top"/>
    </xf>
    <xf numFmtId="167" fontId="13" fillId="0" borderId="9" xfId="0" applyNumberFormat="1" applyFont="1" applyBorder="1" applyAlignment="1">
      <alignment horizontal="left" vertical="top"/>
    </xf>
    <xf numFmtId="2" fontId="47" fillId="17" borderId="0" xfId="2" applyNumberFormat="1" applyFont="1" applyFill="1" applyBorder="1" applyAlignment="1">
      <alignment horizontal="left" vertical="top"/>
    </xf>
    <xf numFmtId="10" fontId="27" fillId="17" borderId="0" xfId="2" applyNumberFormat="1" applyFont="1" applyFill="1" applyBorder="1" applyAlignment="1">
      <alignment horizontal="left" vertical="top"/>
    </xf>
    <xf numFmtId="0" fontId="13" fillId="0" borderId="50" xfId="0" quotePrefix="1" applyNumberFormat="1" applyFont="1" applyBorder="1" applyAlignment="1">
      <alignment vertical="top"/>
    </xf>
    <xf numFmtId="0" fontId="13" fillId="0" borderId="0" xfId="0" quotePrefix="1" applyNumberFormat="1" applyFont="1" applyBorder="1" applyAlignment="1">
      <alignment vertical="top"/>
    </xf>
    <xf numFmtId="0" fontId="13" fillId="0" borderId="51" xfId="0" quotePrefix="1" applyNumberFormat="1" applyFont="1" applyBorder="1" applyAlignment="1">
      <alignment vertical="top"/>
    </xf>
    <xf numFmtId="167" fontId="47" fillId="0" borderId="85" xfId="0" applyFont="1" applyBorder="1" applyAlignment="1">
      <alignment horizontal="left" vertical="top"/>
    </xf>
    <xf numFmtId="167" fontId="85" fillId="0" borderId="50" xfId="0" applyFont="1" applyBorder="1" applyAlignment="1">
      <alignment vertical="top"/>
    </xf>
    <xf numFmtId="0" fontId="18" fillId="0" borderId="0" xfId="0" applyNumberFormat="1" applyFont="1" applyFill="1" applyBorder="1" applyAlignment="1">
      <alignment vertical="top"/>
    </xf>
    <xf numFmtId="0" fontId="18" fillId="0" borderId="50" xfId="0" applyNumberFormat="1" applyFont="1" applyFill="1" applyBorder="1" applyAlignment="1">
      <alignment vertical="top"/>
    </xf>
    <xf numFmtId="167" fontId="32" fillId="11" borderId="10" xfId="0" quotePrefix="1" applyNumberFormat="1" applyFont="1" applyFill="1" applyBorder="1" applyAlignment="1">
      <alignment vertical="top"/>
    </xf>
    <xf numFmtId="167" fontId="61" fillId="0" borderId="85" xfId="0" applyFont="1" applyBorder="1" applyAlignment="1">
      <alignment vertical="top"/>
    </xf>
    <xf numFmtId="167" fontId="95" fillId="0" borderId="0" xfId="0" applyNumberFormat="1" applyFont="1" applyBorder="1" applyAlignment="1">
      <alignment horizontal="left" vertical="top"/>
    </xf>
    <xf numFmtId="167" fontId="95" fillId="0" borderId="0" xfId="0" applyNumberFormat="1" applyFont="1" applyFill="1" applyBorder="1" applyAlignment="1">
      <alignment horizontal="left" vertical="top"/>
    </xf>
    <xf numFmtId="167" fontId="13" fillId="10" borderId="0" xfId="0" applyNumberFormat="1" applyFont="1" applyFill="1" applyBorder="1" applyAlignment="1">
      <alignment horizontal="left" vertical="top"/>
    </xf>
    <xf numFmtId="167" fontId="95" fillId="0" borderId="0" xfId="0" applyFont="1" applyBorder="1" applyAlignment="1">
      <alignment horizontal="left" vertical="top"/>
    </xf>
    <xf numFmtId="167" fontId="87" fillId="0" borderId="0" xfId="0" applyFont="1" applyFill="1"/>
    <xf numFmtId="167" fontId="47" fillId="0" borderId="0" xfId="0" applyFont="1" applyAlignment="1">
      <alignment horizontal="left"/>
    </xf>
    <xf numFmtId="10" fontId="47" fillId="0" borderId="0" xfId="0" applyNumberFormat="1" applyFont="1" applyAlignment="1">
      <alignment horizontal="left"/>
    </xf>
    <xf numFmtId="167" fontId="13" fillId="0" borderId="10" xfId="0" applyFont="1" applyBorder="1" applyAlignment="1">
      <alignment horizontal="right" vertical="top"/>
    </xf>
    <xf numFmtId="167" fontId="0" fillId="0" borderId="10" xfId="0" applyNumberFormat="1" applyBorder="1" applyAlignment="1">
      <alignment horizontal="left" vertical="top"/>
    </xf>
    <xf numFmtId="167" fontId="32" fillId="11" borderId="12" xfId="0" quotePrefix="1" applyNumberFormat="1" applyFont="1" applyFill="1" applyBorder="1" applyAlignment="1">
      <alignment vertical="top"/>
    </xf>
    <xf numFmtId="167" fontId="14" fillId="0" borderId="7" xfId="0" quotePrefix="1" applyNumberFormat="1" applyFont="1" applyFill="1" applyBorder="1" applyAlignment="1">
      <alignment vertical="top"/>
    </xf>
    <xf numFmtId="167" fontId="13" fillId="0" borderId="14" xfId="0" quotePrefix="1" applyNumberFormat="1" applyFont="1" applyFill="1" applyBorder="1" applyAlignment="1">
      <alignment vertical="top"/>
    </xf>
    <xf numFmtId="167" fontId="13" fillId="0" borderId="8" xfId="0" quotePrefix="1" applyNumberFormat="1" applyFont="1" applyFill="1" applyBorder="1" applyAlignment="1">
      <alignment vertical="top"/>
    </xf>
    <xf numFmtId="0" fontId="13" fillId="17" borderId="0" xfId="0" applyNumberFormat="1" applyFont="1" applyFill="1" applyBorder="1" applyAlignment="1">
      <alignment vertical="top"/>
    </xf>
    <xf numFmtId="167" fontId="47" fillId="17" borderId="0" xfId="0" applyFont="1" applyFill="1" applyBorder="1" applyAlignment="1">
      <alignment vertical="top"/>
    </xf>
    <xf numFmtId="167" fontId="47" fillId="17" borderId="0" xfId="0" applyFont="1" applyFill="1" applyBorder="1" applyAlignment="1">
      <alignment horizontal="left" vertical="top"/>
    </xf>
    <xf numFmtId="0" fontId="18" fillId="17" borderId="0" xfId="0" applyNumberFormat="1" applyFont="1" applyFill="1" applyBorder="1" applyAlignment="1">
      <alignment vertical="top"/>
    </xf>
    <xf numFmtId="167" fontId="14" fillId="17" borderId="8" xfId="0" applyFont="1" applyFill="1" applyBorder="1" applyAlignment="1">
      <alignment vertical="top"/>
    </xf>
    <xf numFmtId="167" fontId="38" fillId="17" borderId="0" xfId="0" applyFont="1" applyFill="1" applyBorder="1" applyAlignment="1">
      <alignment vertical="top"/>
    </xf>
    <xf numFmtId="167" fontId="38" fillId="17" borderId="0" xfId="0" applyFont="1" applyFill="1" applyBorder="1" applyAlignment="1">
      <alignment vertical="top" wrapText="1"/>
    </xf>
    <xf numFmtId="0" fontId="0" fillId="17" borderId="0" xfId="0" applyNumberFormat="1" applyFill="1" applyBorder="1" applyAlignment="1">
      <alignment vertical="top"/>
    </xf>
    <xf numFmtId="0" fontId="68" fillId="17" borderId="0" xfId="0" applyNumberFormat="1" applyFont="1" applyFill="1" applyBorder="1" applyAlignment="1">
      <alignment horizontal="center" vertical="top"/>
    </xf>
    <xf numFmtId="0" fontId="18" fillId="0" borderId="0" xfId="0" applyNumberFormat="1" applyFont="1" applyBorder="1" applyAlignment="1">
      <alignment vertical="top"/>
    </xf>
    <xf numFmtId="0" fontId="14" fillId="0" borderId="0" xfId="0" applyNumberFormat="1" applyFont="1" applyBorder="1" applyAlignment="1">
      <alignment vertical="top"/>
    </xf>
    <xf numFmtId="10" fontId="81" fillId="17" borderId="6" xfId="0" applyNumberFormat="1" applyFont="1" applyFill="1" applyBorder="1" applyAlignment="1">
      <alignment horizontal="right" vertical="top"/>
    </xf>
    <xf numFmtId="10" fontId="54" fillId="17" borderId="4" xfId="0" applyNumberFormat="1" applyFont="1" applyFill="1" applyBorder="1" applyAlignment="1">
      <alignment horizontal="left" vertical="top"/>
    </xf>
    <xf numFmtId="10" fontId="54" fillId="17" borderId="4" xfId="2" applyNumberFormat="1" applyFont="1" applyFill="1" applyBorder="1" applyAlignment="1">
      <alignment horizontal="left" vertical="top"/>
    </xf>
    <xf numFmtId="167" fontId="54" fillId="17" borderId="4" xfId="0" applyFont="1" applyFill="1" applyBorder="1" applyAlignment="1">
      <alignment horizontal="left" vertical="top"/>
    </xf>
    <xf numFmtId="1" fontId="54" fillId="17" borderId="4" xfId="2" applyNumberFormat="1" applyFont="1" applyFill="1" applyBorder="1" applyAlignment="1">
      <alignment horizontal="left" vertical="top"/>
    </xf>
    <xf numFmtId="9" fontId="54" fillId="17" borderId="4" xfId="0" applyNumberFormat="1" applyFont="1" applyFill="1" applyBorder="1" applyAlignment="1">
      <alignment horizontal="left" vertical="top"/>
    </xf>
    <xf numFmtId="0" fontId="54" fillId="17" borderId="4" xfId="0" applyNumberFormat="1" applyFont="1" applyFill="1" applyBorder="1" applyAlignment="1">
      <alignment horizontal="left" vertical="top"/>
    </xf>
    <xf numFmtId="167" fontId="54" fillId="17" borderId="0" xfId="0" applyFont="1" applyFill="1" applyBorder="1" applyAlignment="1">
      <alignment vertical="top"/>
    </xf>
    <xf numFmtId="167" fontId="54" fillId="17" borderId="4" xfId="0" applyFont="1" applyFill="1" applyBorder="1" applyAlignment="1">
      <alignment vertical="top"/>
    </xf>
    <xf numFmtId="10" fontId="54" fillId="17" borderId="4" xfId="2" quotePrefix="1" applyNumberFormat="1" applyFont="1" applyFill="1" applyBorder="1" applyAlignment="1">
      <alignment horizontal="left" vertical="top"/>
    </xf>
    <xf numFmtId="167" fontId="54" fillId="17" borderId="4" xfId="0" quotePrefix="1" applyFont="1" applyFill="1" applyBorder="1" applyAlignment="1">
      <alignment horizontal="left" vertical="top"/>
    </xf>
    <xf numFmtId="167" fontId="32" fillId="17" borderId="4" xfId="0" quotePrefix="1" applyFont="1" applyFill="1" applyBorder="1" applyAlignment="1">
      <alignment horizontal="left" vertical="top"/>
    </xf>
    <xf numFmtId="167" fontId="54" fillId="17" borderId="0" xfId="0" quotePrefix="1" applyFont="1" applyFill="1" applyBorder="1" applyAlignment="1">
      <alignment horizontal="left" vertical="top"/>
    </xf>
    <xf numFmtId="167" fontId="54" fillId="17" borderId="0" xfId="0" applyFont="1" applyFill="1" applyBorder="1" applyAlignment="1">
      <alignment horizontal="left" vertical="top"/>
    </xf>
    <xf numFmtId="0" fontId="54" fillId="17" borderId="0" xfId="0" applyNumberFormat="1" applyFont="1" applyFill="1" applyBorder="1" applyAlignment="1">
      <alignment vertical="top"/>
    </xf>
    <xf numFmtId="0" fontId="54" fillId="17" borderId="0" xfId="0" applyNumberFormat="1" applyFont="1" applyFill="1" applyBorder="1" applyAlignment="1">
      <alignment horizontal="left" vertical="top"/>
    </xf>
    <xf numFmtId="2" fontId="54" fillId="17" borderId="0" xfId="0" applyNumberFormat="1" applyFont="1" applyFill="1" applyBorder="1" applyAlignment="1">
      <alignment horizontal="left" vertical="top"/>
    </xf>
    <xf numFmtId="167" fontId="54" fillId="17" borderId="4" xfId="0" applyFont="1" applyFill="1" applyBorder="1" applyAlignment="1">
      <alignment horizontal="left" vertical="top" wrapText="1"/>
    </xf>
    <xf numFmtId="167" fontId="54" fillId="17" borderId="0" xfId="3" applyFont="1" applyFill="1" applyBorder="1" applyAlignment="1">
      <alignment horizontal="left" vertical="top"/>
    </xf>
    <xf numFmtId="167" fontId="14" fillId="2" borderId="0" xfId="0" applyFont="1" applyFill="1" applyBorder="1" applyAlignment="1">
      <alignment horizontal="left" vertical="top"/>
    </xf>
    <xf numFmtId="167" fontId="14" fillId="2" borderId="9" xfId="0" applyFont="1" applyFill="1" applyBorder="1" applyAlignment="1">
      <alignment vertical="top"/>
    </xf>
    <xf numFmtId="167" fontId="14" fillId="2" borderId="10" xfId="0" applyFont="1" applyFill="1" applyBorder="1" applyAlignment="1">
      <alignment horizontal="right" vertical="top"/>
    </xf>
    <xf numFmtId="167" fontId="14" fillId="2" borderId="2" xfId="0" applyFont="1" applyFill="1" applyBorder="1" applyAlignment="1">
      <alignment horizontal="left" vertical="top"/>
    </xf>
    <xf numFmtId="0" fontId="36" fillId="17" borderId="0" xfId="0" applyNumberFormat="1" applyFont="1" applyFill="1" applyBorder="1" applyAlignment="1">
      <alignment horizontal="left" vertical="top"/>
    </xf>
    <xf numFmtId="0" fontId="37" fillId="17" borderId="0" xfId="0" applyNumberFormat="1" applyFont="1" applyFill="1" applyBorder="1" applyAlignment="1">
      <alignment horizontal="left" vertical="top" wrapText="1"/>
    </xf>
    <xf numFmtId="0" fontId="42" fillId="17" borderId="0" xfId="0" applyNumberFormat="1" applyFont="1" applyFill="1" applyBorder="1" applyAlignment="1">
      <alignment horizontal="left" vertical="top"/>
    </xf>
    <xf numFmtId="0" fontId="17" fillId="17" borderId="0" xfId="0" applyNumberFormat="1" applyFont="1" applyFill="1" applyBorder="1" applyAlignment="1">
      <alignment horizontal="left" vertical="top"/>
    </xf>
    <xf numFmtId="0" fontId="13" fillId="17" borderId="0" xfId="0" applyNumberFormat="1" applyFont="1" applyFill="1" applyBorder="1" applyAlignment="1">
      <alignment horizontal="left" vertical="top"/>
    </xf>
    <xf numFmtId="167" fontId="36" fillId="17" borderId="0" xfId="0" applyFont="1" applyFill="1" applyBorder="1" applyAlignment="1">
      <alignment horizontal="left" vertical="top"/>
    </xf>
    <xf numFmtId="2" fontId="42" fillId="17" borderId="0" xfId="0" applyNumberFormat="1" applyFont="1" applyFill="1" applyBorder="1" applyAlignment="1">
      <alignment horizontal="left" vertical="top"/>
    </xf>
    <xf numFmtId="9" fontId="13" fillId="0" borderId="33" xfId="2" applyNumberFormat="1" applyFont="1" applyFill="1" applyBorder="1" applyAlignment="1">
      <alignment horizontal="left" vertical="top"/>
    </xf>
    <xf numFmtId="9" fontId="13" fillId="0" borderId="35" xfId="2" applyNumberFormat="1" applyFont="1" applyFill="1" applyBorder="1" applyAlignment="1">
      <alignment horizontal="left" vertical="top"/>
    </xf>
    <xf numFmtId="9" fontId="27" fillId="0" borderId="30" xfId="2" applyNumberFormat="1" applyFont="1" applyFill="1" applyBorder="1" applyAlignment="1">
      <alignment horizontal="left" vertical="top"/>
    </xf>
    <xf numFmtId="9" fontId="27" fillId="0" borderId="6" xfId="2" applyNumberFormat="1" applyFont="1" applyFill="1" applyBorder="1" applyAlignment="1">
      <alignment horizontal="left" vertical="top"/>
    </xf>
    <xf numFmtId="9" fontId="42" fillId="0" borderId="16" xfId="2" applyNumberFormat="1" applyFont="1" applyFill="1" applyBorder="1" applyAlignment="1">
      <alignment horizontal="left" vertical="top"/>
    </xf>
    <xf numFmtId="9" fontId="42" fillId="0" borderId="34" xfId="2" applyNumberFormat="1" applyFont="1" applyFill="1" applyBorder="1" applyAlignment="1">
      <alignment horizontal="left" vertical="top"/>
    </xf>
    <xf numFmtId="9" fontId="13" fillId="13" borderId="35" xfId="2" applyNumberFormat="1" applyFont="1" applyFill="1" applyBorder="1" applyAlignment="1">
      <alignment horizontal="left" vertical="top"/>
    </xf>
    <xf numFmtId="9" fontId="42" fillId="0" borderId="17" xfId="2" applyNumberFormat="1" applyFont="1" applyFill="1" applyBorder="1" applyAlignment="1">
      <alignment horizontal="left" vertical="top"/>
    </xf>
    <xf numFmtId="9" fontId="42" fillId="0" borderId="7" xfId="2" applyNumberFormat="1" applyFont="1" applyFill="1" applyBorder="1" applyAlignment="1">
      <alignment horizontal="left" vertical="top"/>
    </xf>
    <xf numFmtId="9" fontId="42" fillId="0" borderId="8" xfId="2" applyNumberFormat="1" applyFont="1" applyFill="1" applyBorder="1" applyAlignment="1">
      <alignment horizontal="left" vertical="top"/>
    </xf>
    <xf numFmtId="9" fontId="42" fillId="0" borderId="24" xfId="2" applyNumberFormat="1" applyFont="1" applyFill="1" applyBorder="1" applyAlignment="1">
      <alignment horizontal="left" vertical="top"/>
    </xf>
    <xf numFmtId="166" fontId="100" fillId="0" borderId="82" xfId="2" applyNumberFormat="1" applyFont="1" applyBorder="1" applyAlignment="1">
      <alignment horizontal="left" vertical="top"/>
    </xf>
    <xf numFmtId="167" fontId="14" fillId="9" borderId="0" xfId="0" applyFont="1" applyFill="1" applyBorder="1" applyAlignment="1">
      <alignment horizontal="right" vertical="top"/>
    </xf>
    <xf numFmtId="167" fontId="50" fillId="0" borderId="48" xfId="0" applyNumberFormat="1" applyFont="1" applyBorder="1" applyAlignment="1">
      <alignment vertical="top"/>
    </xf>
    <xf numFmtId="167" fontId="50" fillId="0" borderId="43" xfId="0" applyFont="1" applyBorder="1" applyAlignment="1">
      <alignment horizontal="left" vertical="top" wrapText="1"/>
    </xf>
    <xf numFmtId="167" fontId="50" fillId="0" borderId="43" xfId="0" applyFont="1" applyBorder="1" applyAlignment="1">
      <alignment vertical="top"/>
    </xf>
    <xf numFmtId="167" fontId="65" fillId="0" borderId="10" xfId="0" applyFont="1" applyFill="1" applyBorder="1" applyAlignment="1">
      <alignment vertical="top"/>
    </xf>
    <xf numFmtId="167" fontId="65" fillId="0" borderId="0" xfId="0" applyFont="1" applyBorder="1" applyAlignment="1">
      <alignment vertical="top"/>
    </xf>
    <xf numFmtId="166" fontId="13" fillId="0" borderId="10" xfId="0" quotePrefix="1" applyNumberFormat="1" applyFont="1" applyFill="1" applyBorder="1" applyAlignment="1">
      <alignment horizontal="left"/>
    </xf>
    <xf numFmtId="10" fontId="14" fillId="0" borderId="56" xfId="0" applyNumberFormat="1" applyFont="1" applyFill="1" applyBorder="1" applyAlignment="1">
      <alignment horizontal="left" indent="1"/>
    </xf>
    <xf numFmtId="166" fontId="13" fillId="0" borderId="0" xfId="0" applyNumberFormat="1" applyFont="1" applyFill="1" applyBorder="1" applyAlignment="1">
      <alignment horizontal="left" indent="1"/>
    </xf>
    <xf numFmtId="166" fontId="14" fillId="0" borderId="0" xfId="0" applyNumberFormat="1" applyFont="1" applyFill="1" applyBorder="1" applyAlignment="1">
      <alignment horizontal="left"/>
    </xf>
    <xf numFmtId="167" fontId="99" fillId="14" borderId="0" xfId="0" applyFont="1" applyFill="1"/>
    <xf numFmtId="0" fontId="14" fillId="0" borderId="0" xfId="0" applyNumberFormat="1" applyFont="1" applyFill="1" applyBorder="1" applyAlignment="1">
      <alignment horizontal="left"/>
    </xf>
    <xf numFmtId="166" fontId="13" fillId="0" borderId="0" xfId="0" quotePrefix="1" applyNumberFormat="1" applyFont="1" applyFill="1" applyBorder="1" applyAlignment="1">
      <alignment horizontal="left"/>
    </xf>
    <xf numFmtId="167" fontId="99" fillId="0" borderId="0" xfId="0" applyFont="1" applyFill="1"/>
    <xf numFmtId="10" fontId="32" fillId="0" borderId="0" xfId="0" applyNumberFormat="1" applyFont="1" applyFill="1" applyBorder="1" applyAlignment="1">
      <alignment horizontal="left"/>
    </xf>
    <xf numFmtId="0" fontId="13" fillId="0" borderId="0" xfId="0" applyNumberFormat="1" applyFont="1" applyFill="1" applyBorder="1" applyAlignment="1">
      <alignment horizontal="left"/>
    </xf>
    <xf numFmtId="166" fontId="13" fillId="0" borderId="7" xfId="2" applyNumberFormat="1" applyFont="1" applyFill="1" applyBorder="1" applyAlignment="1">
      <alignment horizontal="left"/>
    </xf>
    <xf numFmtId="167" fontId="13" fillId="0" borderId="7" xfId="0" applyFont="1" applyFill="1" applyBorder="1" applyAlignment="1">
      <alignment horizontal="left" wrapText="1"/>
    </xf>
    <xf numFmtId="0" fontId="64" fillId="9" borderId="0" xfId="0" applyNumberFormat="1" applyFont="1" applyFill="1" applyAlignment="1"/>
    <xf numFmtId="0" fontId="65" fillId="12" borderId="0" xfId="0" applyNumberFormat="1" applyFont="1" applyFill="1" applyAlignment="1">
      <alignment horizontal="left"/>
    </xf>
    <xf numFmtId="0" fontId="65" fillId="0" borderId="0" xfId="0" applyNumberFormat="1" applyFont="1" applyFill="1" applyAlignment="1">
      <alignment horizontal="left"/>
    </xf>
    <xf numFmtId="0" fontId="65" fillId="9" borderId="0" xfId="0" applyNumberFormat="1" applyFont="1" applyFill="1" applyAlignment="1">
      <alignment horizontal="left"/>
    </xf>
    <xf numFmtId="0" fontId="65" fillId="9" borderId="56" xfId="0" applyNumberFormat="1" applyFont="1" applyFill="1" applyBorder="1" applyAlignment="1">
      <alignment horizontal="left"/>
    </xf>
    <xf numFmtId="0" fontId="65" fillId="9" borderId="12" xfId="0" applyNumberFormat="1" applyFont="1" applyFill="1" applyBorder="1" applyAlignment="1">
      <alignment horizontal="left" indent="1"/>
    </xf>
    <xf numFmtId="10" fontId="65" fillId="9" borderId="12" xfId="0" applyNumberFormat="1" applyFont="1" applyFill="1" applyBorder="1" applyAlignment="1">
      <alignment horizontal="left" indent="1"/>
    </xf>
    <xf numFmtId="167" fontId="0" fillId="9" borderId="62" xfId="0" applyFill="1" applyBorder="1" applyAlignment="1">
      <alignment horizontal="left" indent="1"/>
    </xf>
    <xf numFmtId="10" fontId="65" fillId="9" borderId="62" xfId="0" applyNumberFormat="1" applyFont="1" applyFill="1" applyBorder="1" applyAlignment="1">
      <alignment horizontal="left" indent="1"/>
    </xf>
    <xf numFmtId="0" fontId="65" fillId="9" borderId="56" xfId="0" applyNumberFormat="1" applyFont="1" applyFill="1" applyBorder="1" applyAlignment="1"/>
    <xf numFmtId="10" fontId="65" fillId="9" borderId="56" xfId="0" applyNumberFormat="1" applyFont="1" applyFill="1" applyBorder="1" applyAlignment="1">
      <alignment horizontal="left"/>
    </xf>
    <xf numFmtId="0" fontId="64" fillId="9" borderId="56" xfId="0" applyNumberFormat="1" applyFont="1" applyFill="1" applyBorder="1" applyAlignment="1">
      <alignment horizontal="left"/>
    </xf>
    <xf numFmtId="0" fontId="64" fillId="9" borderId="56" xfId="0" applyNumberFormat="1" applyFont="1" applyFill="1" applyBorder="1" applyAlignment="1"/>
    <xf numFmtId="10" fontId="64" fillId="9" borderId="56" xfId="0" applyNumberFormat="1" applyFont="1" applyFill="1" applyBorder="1" applyAlignment="1">
      <alignment horizontal="left"/>
    </xf>
    <xf numFmtId="9" fontId="65" fillId="9" borderId="12" xfId="0" applyNumberFormat="1" applyFont="1" applyFill="1" applyBorder="1" applyAlignment="1">
      <alignment horizontal="left" indent="1"/>
    </xf>
    <xf numFmtId="9" fontId="65" fillId="9" borderId="56" xfId="0" applyNumberFormat="1" applyFont="1" applyFill="1" applyBorder="1" applyAlignment="1">
      <alignment horizontal="left"/>
    </xf>
    <xf numFmtId="0" fontId="46" fillId="0" borderId="3" xfId="0" applyNumberFormat="1" applyFont="1" applyFill="1" applyBorder="1"/>
    <xf numFmtId="0" fontId="46" fillId="0" borderId="11" xfId="0" applyNumberFormat="1" applyFont="1" applyFill="1" applyBorder="1"/>
    <xf numFmtId="0" fontId="46" fillId="9" borderId="3" xfId="0" applyNumberFormat="1" applyFont="1" applyFill="1" applyBorder="1"/>
    <xf numFmtId="0" fontId="46" fillId="9" borderId="11" xfId="0" applyNumberFormat="1" applyFont="1" applyFill="1" applyBorder="1"/>
    <xf numFmtId="167" fontId="14" fillId="0" borderId="7" xfId="0" applyNumberFormat="1" applyFont="1" applyFill="1" applyBorder="1" applyAlignment="1">
      <alignment horizontal="left"/>
    </xf>
    <xf numFmtId="167" fontId="0" fillId="0" borderId="7" xfId="0" applyNumberFormat="1" applyFill="1" applyBorder="1" applyAlignment="1"/>
    <xf numFmtId="167" fontId="14" fillId="0" borderId="7" xfId="0" applyNumberFormat="1" applyFont="1" applyFill="1" applyBorder="1" applyAlignment="1"/>
    <xf numFmtId="167" fontId="14" fillId="0" borderId="89" xfId="0" applyNumberFormat="1" applyFont="1" applyFill="1" applyBorder="1" applyAlignment="1"/>
    <xf numFmtId="167" fontId="13" fillId="0" borderId="7" xfId="0" applyNumberFormat="1" applyFont="1" applyFill="1" applyBorder="1" applyAlignment="1"/>
    <xf numFmtId="10" fontId="13" fillId="0" borderId="12" xfId="2" applyNumberFormat="1" applyFont="1" applyFill="1" applyBorder="1" applyAlignment="1">
      <alignment horizontal="left"/>
    </xf>
    <xf numFmtId="10" fontId="13" fillId="0" borderId="90" xfId="2" applyNumberFormat="1" applyFont="1" applyFill="1" applyBorder="1" applyAlignment="1">
      <alignment horizontal="left"/>
    </xf>
    <xf numFmtId="166" fontId="13" fillId="0" borderId="90" xfId="2" applyNumberFormat="1" applyFont="1" applyFill="1" applyBorder="1" applyAlignment="1">
      <alignment horizontal="left"/>
    </xf>
    <xf numFmtId="166" fontId="13" fillId="0" borderId="12" xfId="2" applyNumberFormat="1" applyFont="1" applyFill="1" applyBorder="1" applyAlignment="1">
      <alignment horizontal="left"/>
    </xf>
    <xf numFmtId="166" fontId="13" fillId="0" borderId="7" xfId="2" applyNumberFormat="1" applyFont="1" applyFill="1" applyBorder="1" applyAlignment="1">
      <alignment horizontal="left" indent="1"/>
    </xf>
    <xf numFmtId="10" fontId="13" fillId="0" borderId="89" xfId="2" applyNumberFormat="1" applyFont="1" applyFill="1" applyBorder="1" applyAlignment="1">
      <alignment horizontal="left" indent="1"/>
    </xf>
    <xf numFmtId="166" fontId="13" fillId="0" borderId="89" xfId="2" applyNumberFormat="1" applyFont="1" applyFill="1" applyBorder="1" applyAlignment="1">
      <alignment horizontal="left" indent="1"/>
    </xf>
    <xf numFmtId="10" fontId="14" fillId="0" borderId="89" xfId="2" applyNumberFormat="1" applyFont="1" applyFill="1" applyBorder="1" applyAlignment="1">
      <alignment horizontal="left" indent="1"/>
    </xf>
    <xf numFmtId="166" fontId="14" fillId="0" borderId="89" xfId="2" applyNumberFormat="1" applyFont="1" applyFill="1" applyBorder="1" applyAlignment="1">
      <alignment horizontal="left" indent="1"/>
    </xf>
    <xf numFmtId="166" fontId="0" fillId="0" borderId="7" xfId="0" applyNumberFormat="1" applyFill="1" applyBorder="1" applyAlignment="1">
      <alignment horizontal="left" indent="1"/>
    </xf>
    <xf numFmtId="10" fontId="14" fillId="9" borderId="12" xfId="2" applyNumberFormat="1" applyFont="1" applyFill="1" applyBorder="1" applyAlignment="1">
      <alignment horizontal="left"/>
    </xf>
    <xf numFmtId="10" fontId="13" fillId="0" borderId="7" xfId="2" applyNumberFormat="1" applyFont="1" applyFill="1" applyBorder="1" applyAlignment="1">
      <alignment horizontal="left"/>
    </xf>
    <xf numFmtId="10" fontId="14" fillId="0" borderId="7" xfId="2" applyNumberFormat="1" applyFont="1" applyFill="1" applyBorder="1" applyAlignment="1">
      <alignment horizontal="left"/>
    </xf>
    <xf numFmtId="166" fontId="25" fillId="0" borderId="10" xfId="2" applyNumberFormat="1" applyFont="1" applyFill="1" applyBorder="1" applyAlignment="1">
      <alignment horizontal="left"/>
    </xf>
    <xf numFmtId="166" fontId="25" fillId="0" borderId="88" xfId="2" applyNumberFormat="1" applyFont="1" applyFill="1" applyBorder="1" applyAlignment="1">
      <alignment horizontal="left"/>
    </xf>
    <xf numFmtId="10" fontId="25" fillId="0" borderId="10" xfId="2" applyNumberFormat="1" applyFont="1" applyFill="1" applyBorder="1" applyAlignment="1">
      <alignment horizontal="left"/>
    </xf>
    <xf numFmtId="10" fontId="106" fillId="0" borderId="10" xfId="2" applyNumberFormat="1" applyFont="1" applyFill="1" applyBorder="1" applyAlignment="1">
      <alignment horizontal="left"/>
    </xf>
    <xf numFmtId="10" fontId="14" fillId="9" borderId="90" xfId="2" applyNumberFormat="1" applyFont="1" applyFill="1" applyBorder="1" applyAlignment="1">
      <alignment horizontal="left"/>
    </xf>
    <xf numFmtId="166" fontId="14" fillId="9" borderId="90" xfId="2" applyNumberFormat="1" applyFont="1" applyFill="1" applyBorder="1" applyAlignment="1">
      <alignment horizontal="left"/>
    </xf>
    <xf numFmtId="167" fontId="25" fillId="0" borderId="10" xfId="0" applyFont="1" applyBorder="1" applyAlignment="1"/>
    <xf numFmtId="9" fontId="25" fillId="0" borderId="12" xfId="0" applyNumberFormat="1" applyFont="1" applyBorder="1" applyAlignment="1">
      <alignment horizontal="left"/>
    </xf>
    <xf numFmtId="9" fontId="25" fillId="0" borderId="0" xfId="2" applyFont="1" applyBorder="1" applyAlignment="1">
      <alignment horizontal="left"/>
    </xf>
    <xf numFmtId="10" fontId="25" fillId="0" borderId="0" xfId="0" applyNumberFormat="1" applyFont="1" applyBorder="1" applyAlignment="1">
      <alignment horizontal="left"/>
    </xf>
    <xf numFmtId="166" fontId="25" fillId="0" borderId="0" xfId="2" applyNumberFormat="1" applyFont="1" applyBorder="1" applyAlignment="1">
      <alignment horizontal="left"/>
    </xf>
    <xf numFmtId="165" fontId="25" fillId="0" borderId="0" xfId="0" applyNumberFormat="1" applyFont="1" applyBorder="1" applyAlignment="1">
      <alignment horizontal="left"/>
    </xf>
    <xf numFmtId="9" fontId="25" fillId="0" borderId="0" xfId="2" applyFont="1" applyAlignment="1">
      <alignment horizontal="left"/>
    </xf>
    <xf numFmtId="2" fontId="25" fillId="0" borderId="43" xfId="0" applyNumberFormat="1" applyFont="1" applyBorder="1" applyAlignment="1">
      <alignment horizontal="left"/>
    </xf>
    <xf numFmtId="2" fontId="25" fillId="0" borderId="0" xfId="0" applyNumberFormat="1" applyFont="1" applyBorder="1" applyAlignment="1">
      <alignment horizontal="left"/>
    </xf>
    <xf numFmtId="166" fontId="106" fillId="0" borderId="12" xfId="2" applyNumberFormat="1" applyFont="1" applyBorder="1" applyAlignment="1">
      <alignment horizontal="left"/>
    </xf>
    <xf numFmtId="10" fontId="106" fillId="0" borderId="0" xfId="2" applyNumberFormat="1" applyFont="1" applyBorder="1" applyAlignment="1">
      <alignment horizontal="left"/>
    </xf>
    <xf numFmtId="10" fontId="106" fillId="0" borderId="43" xfId="2" applyNumberFormat="1" applyFont="1" applyBorder="1" applyAlignment="1">
      <alignment horizontal="left"/>
    </xf>
    <xf numFmtId="10" fontId="25" fillId="0" borderId="0" xfId="2" applyNumberFormat="1" applyFont="1" applyBorder="1" applyAlignment="1">
      <alignment horizontal="left"/>
    </xf>
    <xf numFmtId="167" fontId="25" fillId="0" borderId="0" xfId="0" applyFont="1" applyBorder="1" applyAlignment="1"/>
    <xf numFmtId="166" fontId="25" fillId="0" borderId="12" xfId="2" applyNumberFormat="1" applyFont="1" applyBorder="1" applyAlignment="1">
      <alignment horizontal="left"/>
    </xf>
    <xf numFmtId="10" fontId="25" fillId="0" borderId="43" xfId="2" applyNumberFormat="1" applyFont="1" applyBorder="1" applyAlignment="1">
      <alignment horizontal="left"/>
    </xf>
    <xf numFmtId="167" fontId="13" fillId="0" borderId="7" xfId="0" applyFont="1" applyBorder="1" applyAlignment="1">
      <alignment horizontal="left" indent="1"/>
    </xf>
    <xf numFmtId="167" fontId="0" fillId="0" borderId="7" xfId="0" applyBorder="1" applyAlignment="1">
      <alignment horizontal="left" indent="1"/>
    </xf>
    <xf numFmtId="10" fontId="14" fillId="0" borderId="7" xfId="2" applyNumberFormat="1" applyFont="1" applyBorder="1" applyAlignment="1">
      <alignment horizontal="left" indent="1"/>
    </xf>
    <xf numFmtId="167" fontId="25" fillId="0" borderId="7" xfId="0" applyFont="1" applyBorder="1" applyAlignment="1">
      <alignment horizontal="left" indent="1"/>
    </xf>
    <xf numFmtId="10" fontId="13" fillId="0" borderId="7" xfId="2" applyNumberFormat="1" applyFont="1" applyBorder="1" applyAlignment="1">
      <alignment horizontal="left" indent="1"/>
    </xf>
    <xf numFmtId="0" fontId="13" fillId="0" borderId="0" xfId="0" applyNumberFormat="1" applyFont="1" applyFill="1" applyBorder="1" applyAlignment="1">
      <alignment horizontal="left" vertical="top"/>
    </xf>
    <xf numFmtId="2" fontId="13" fillId="0" borderId="36" xfId="2" applyNumberFormat="1" applyFont="1" applyFill="1" applyBorder="1" applyAlignment="1">
      <alignment horizontal="left" vertical="top"/>
    </xf>
    <xf numFmtId="2" fontId="42" fillId="0" borderId="37" xfId="2" applyNumberFormat="1" applyFont="1" applyFill="1" applyBorder="1" applyAlignment="1">
      <alignment horizontal="left" vertical="top"/>
    </xf>
    <xf numFmtId="2" fontId="42" fillId="0" borderId="38" xfId="2" applyNumberFormat="1" applyFont="1" applyFill="1" applyBorder="1" applyAlignment="1">
      <alignment horizontal="left" vertical="top"/>
    </xf>
    <xf numFmtId="2" fontId="13" fillId="0" borderId="39" xfId="2" applyNumberFormat="1" applyFont="1" applyFill="1" applyBorder="1" applyAlignment="1">
      <alignment horizontal="left" vertical="top"/>
    </xf>
    <xf numFmtId="2" fontId="13" fillId="13" borderId="39" xfId="2" applyNumberFormat="1" applyFont="1" applyFill="1" applyBorder="1" applyAlignment="1">
      <alignment horizontal="left" vertical="top"/>
    </xf>
    <xf numFmtId="2" fontId="42" fillId="0" borderId="40" xfId="2" applyNumberFormat="1" applyFont="1" applyFill="1" applyBorder="1" applyAlignment="1">
      <alignment horizontal="left" vertical="top"/>
    </xf>
    <xf numFmtId="2" fontId="13" fillId="8" borderId="2" xfId="2" applyNumberFormat="1" applyFont="1" applyFill="1" applyBorder="1" applyAlignment="1">
      <alignment horizontal="left" vertical="top"/>
    </xf>
    <xf numFmtId="2" fontId="42" fillId="0" borderId="2" xfId="2" applyNumberFormat="1" applyFont="1" applyFill="1" applyBorder="1" applyAlignment="1">
      <alignment horizontal="left" vertical="top"/>
    </xf>
    <xf numFmtId="2" fontId="13" fillId="3" borderId="2" xfId="2" applyNumberFormat="1" applyFont="1" applyFill="1" applyBorder="1" applyAlignment="1">
      <alignment horizontal="left" vertical="top"/>
    </xf>
    <xf numFmtId="2" fontId="13" fillId="0" borderId="4" xfId="2" quotePrefix="1" applyNumberFormat="1" applyFont="1" applyFill="1" applyBorder="1" applyAlignment="1">
      <alignment horizontal="left" vertical="top"/>
    </xf>
    <xf numFmtId="2" fontId="13" fillId="6" borderId="0" xfId="2" quotePrefix="1" applyNumberFormat="1" applyFont="1" applyFill="1" applyBorder="1" applyAlignment="1">
      <alignment horizontal="left" vertical="top"/>
    </xf>
    <xf numFmtId="4" fontId="13" fillId="0" borderId="4" xfId="2" quotePrefix="1" applyNumberFormat="1" applyFont="1" applyFill="1" applyBorder="1" applyAlignment="1">
      <alignment horizontal="left" vertical="top"/>
    </xf>
    <xf numFmtId="4" fontId="13" fillId="6" borderId="0" xfId="2" quotePrefix="1" applyNumberFormat="1" applyFont="1" applyFill="1" applyBorder="1" applyAlignment="1">
      <alignment horizontal="left" vertical="top"/>
    </xf>
    <xf numFmtId="4" fontId="13" fillId="0" borderId="5" xfId="2" applyNumberFormat="1" applyFont="1" applyFill="1" applyBorder="1" applyAlignment="1">
      <alignment horizontal="left" vertical="top"/>
    </xf>
    <xf numFmtId="2" fontId="47" fillId="0" borderId="0" xfId="2" applyNumberFormat="1" applyFont="1" applyBorder="1" applyAlignment="1">
      <alignment horizontal="left" vertical="top"/>
    </xf>
    <xf numFmtId="2" fontId="47" fillId="0" borderId="0" xfId="0" applyNumberFormat="1" applyFont="1" applyBorder="1" applyAlignment="1">
      <alignment vertical="top"/>
    </xf>
    <xf numFmtId="0" fontId="14" fillId="9" borderId="4" xfId="0" applyNumberFormat="1" applyFont="1" applyFill="1" applyBorder="1" applyAlignment="1">
      <alignment horizontal="left" vertical="top"/>
    </xf>
    <xf numFmtId="0" fontId="13" fillId="9" borderId="0" xfId="0" applyNumberFormat="1" applyFont="1" applyFill="1" applyBorder="1" applyAlignment="1">
      <alignment horizontal="left" vertical="top"/>
    </xf>
    <xf numFmtId="0" fontId="13" fillId="9" borderId="4" xfId="0" applyNumberFormat="1" applyFont="1" applyFill="1" applyBorder="1" applyAlignment="1">
      <alignment horizontal="left" vertical="top"/>
    </xf>
    <xf numFmtId="0" fontId="13" fillId="9" borderId="51" xfId="0" applyNumberFormat="1" applyFont="1" applyFill="1" applyBorder="1" applyAlignment="1">
      <alignment horizontal="left" vertical="top"/>
    </xf>
    <xf numFmtId="0" fontId="13" fillId="9" borderId="4" xfId="0" applyNumberFormat="1" applyFont="1" applyFill="1" applyBorder="1" applyAlignment="1">
      <alignment vertical="top"/>
    </xf>
    <xf numFmtId="0" fontId="13" fillId="9" borderId="0" xfId="0" applyNumberFormat="1" applyFont="1" applyFill="1" applyBorder="1" applyAlignment="1">
      <alignment vertical="top"/>
    </xf>
    <xf numFmtId="0" fontId="13" fillId="9" borderId="51" xfId="0" applyNumberFormat="1" applyFont="1" applyFill="1" applyBorder="1" applyAlignment="1">
      <alignment vertical="top"/>
    </xf>
    <xf numFmtId="0" fontId="13" fillId="0" borderId="3" xfId="0" applyNumberFormat="1" applyFont="1" applyBorder="1" applyAlignment="1">
      <alignment vertical="top"/>
    </xf>
    <xf numFmtId="10" fontId="56" fillId="12" borderId="7" xfId="0" applyNumberFormat="1" applyFont="1" applyFill="1" applyBorder="1" applyAlignment="1">
      <alignment horizontal="left" vertical="top"/>
    </xf>
    <xf numFmtId="167" fontId="26" fillId="12" borderId="0" xfId="0" applyFont="1" applyFill="1" applyBorder="1" applyAlignment="1">
      <alignment horizontal="left" vertical="top"/>
    </xf>
    <xf numFmtId="10" fontId="13" fillId="12" borderId="0" xfId="0" applyNumberFormat="1" applyFont="1" applyFill="1" applyBorder="1" applyAlignment="1">
      <alignment horizontal="left" vertical="top"/>
    </xf>
    <xf numFmtId="10" fontId="13" fillId="12" borderId="0" xfId="2" applyNumberFormat="1" applyFont="1" applyFill="1" applyBorder="1" applyAlignment="1">
      <alignment horizontal="left" vertical="top"/>
    </xf>
    <xf numFmtId="167" fontId="13" fillId="12" borderId="0" xfId="0" applyFont="1" applyFill="1" applyBorder="1" applyAlignment="1">
      <alignment horizontal="left" vertical="top"/>
    </xf>
    <xf numFmtId="9" fontId="13" fillId="12" borderId="0" xfId="2" applyFont="1" applyFill="1" applyBorder="1" applyAlignment="1">
      <alignment horizontal="center" vertical="top"/>
    </xf>
    <xf numFmtId="9" fontId="13" fillId="12" borderId="0" xfId="0" applyNumberFormat="1" applyFont="1" applyFill="1" applyBorder="1" applyAlignment="1">
      <alignment horizontal="left" vertical="top"/>
    </xf>
    <xf numFmtId="167" fontId="47" fillId="12" borderId="0" xfId="0" applyFont="1" applyFill="1" applyBorder="1" applyAlignment="1">
      <alignment horizontal="left" vertical="top"/>
    </xf>
    <xf numFmtId="0" fontId="13" fillId="12" borderId="0" xfId="0" applyNumberFormat="1" applyFont="1" applyFill="1" applyBorder="1" applyAlignment="1">
      <alignment horizontal="left" vertical="top"/>
    </xf>
    <xf numFmtId="2" fontId="13" fillId="12" borderId="0" xfId="2" applyNumberFormat="1" applyFont="1" applyFill="1" applyBorder="1" applyAlignment="1">
      <alignment horizontal="left" vertical="top"/>
    </xf>
    <xf numFmtId="10" fontId="13" fillId="12" borderId="0" xfId="0" applyNumberFormat="1" applyFont="1" applyFill="1" applyBorder="1" applyAlignment="1">
      <alignment horizontal="center" vertical="top"/>
    </xf>
    <xf numFmtId="2" fontId="13" fillId="12" borderId="0" xfId="0" applyNumberFormat="1" applyFont="1" applyFill="1" applyBorder="1" applyAlignment="1">
      <alignment horizontal="left" vertical="top"/>
    </xf>
    <xf numFmtId="2" fontId="47" fillId="12" borderId="0" xfId="2" applyNumberFormat="1" applyFont="1" applyFill="1" applyBorder="1" applyAlignment="1">
      <alignment horizontal="left" vertical="top"/>
    </xf>
    <xf numFmtId="10" fontId="27" fillId="12" borderId="0" xfId="2" applyNumberFormat="1" applyFont="1" applyFill="1" applyBorder="1" applyAlignment="1">
      <alignment horizontal="left" vertical="top"/>
    </xf>
    <xf numFmtId="10" fontId="13" fillId="12" borderId="0" xfId="2" quotePrefix="1" applyNumberFormat="1" applyFont="1" applyFill="1" applyBorder="1" applyAlignment="1">
      <alignment horizontal="left" vertical="top"/>
    </xf>
    <xf numFmtId="167" fontId="13" fillId="12" borderId="0" xfId="0" quotePrefix="1" applyFont="1" applyFill="1" applyBorder="1" applyAlignment="1">
      <alignment horizontal="left" vertical="top"/>
    </xf>
    <xf numFmtId="9" fontId="13" fillId="12" borderId="0" xfId="2" applyNumberFormat="1" applyFont="1" applyFill="1" applyBorder="1" applyAlignment="1">
      <alignment horizontal="left" vertical="top"/>
    </xf>
    <xf numFmtId="167" fontId="13" fillId="12" borderId="0" xfId="0" applyNumberFormat="1" applyFont="1" applyFill="1" applyBorder="1" applyAlignment="1">
      <alignment horizontal="left" vertical="top"/>
    </xf>
    <xf numFmtId="167" fontId="13" fillId="12" borderId="0" xfId="0" applyFont="1" applyFill="1" applyBorder="1" applyAlignment="1">
      <alignment vertical="top"/>
    </xf>
    <xf numFmtId="167" fontId="13" fillId="12" borderId="0" xfId="0" applyFont="1" applyFill="1" applyBorder="1" applyAlignment="1">
      <alignment horizontal="left" vertical="top" wrapText="1"/>
    </xf>
    <xf numFmtId="167" fontId="42" fillId="12" borderId="0" xfId="0" applyFont="1" applyFill="1" applyBorder="1" applyAlignment="1">
      <alignment horizontal="left" vertical="top" wrapText="1"/>
    </xf>
    <xf numFmtId="167" fontId="9" fillId="12" borderId="0" xfId="3" applyFont="1" applyFill="1" applyBorder="1" applyAlignment="1">
      <alignment horizontal="left" vertical="top"/>
    </xf>
    <xf numFmtId="167" fontId="17" fillId="12" borderId="0" xfId="0" applyFont="1" applyFill="1" applyBorder="1" applyAlignment="1">
      <alignment horizontal="left" vertical="top"/>
    </xf>
    <xf numFmtId="167" fontId="42" fillId="12" borderId="0" xfId="0" applyFont="1" applyFill="1" applyBorder="1" applyAlignment="1">
      <alignment horizontal="left" vertical="top"/>
    </xf>
    <xf numFmtId="167" fontId="0" fillId="12" borderId="0" xfId="0" applyFill="1" applyBorder="1" applyAlignment="1">
      <alignment horizontal="left" vertical="top"/>
    </xf>
    <xf numFmtId="167" fontId="36" fillId="12" borderId="0" xfId="0" applyFont="1" applyFill="1" applyBorder="1" applyAlignment="1">
      <alignment horizontal="left" vertical="top"/>
    </xf>
    <xf numFmtId="0" fontId="36" fillId="12" borderId="0" xfId="0" applyNumberFormat="1" applyFont="1" applyFill="1" applyBorder="1" applyAlignment="1">
      <alignment horizontal="left" vertical="top"/>
    </xf>
    <xf numFmtId="0" fontId="42" fillId="12" borderId="0" xfId="0" applyNumberFormat="1" applyFont="1" applyFill="1" applyBorder="1" applyAlignment="1">
      <alignment horizontal="left" vertical="top"/>
    </xf>
    <xf numFmtId="2" fontId="42" fillId="12" borderId="0" xfId="0" applyNumberFormat="1" applyFont="1" applyFill="1" applyBorder="1" applyAlignment="1">
      <alignment horizontal="left" vertical="top"/>
    </xf>
    <xf numFmtId="167" fontId="0" fillId="12" borderId="0" xfId="0" applyFill="1" applyBorder="1" applyAlignment="1">
      <alignment vertical="top"/>
    </xf>
    <xf numFmtId="9" fontId="47" fillId="12" borderId="0" xfId="2" applyFont="1" applyFill="1" applyBorder="1" applyAlignment="1">
      <alignment horizontal="left" vertical="top"/>
    </xf>
    <xf numFmtId="167" fontId="27" fillId="12" borderId="0" xfId="0" applyNumberFormat="1" applyFont="1" applyFill="1" applyBorder="1" applyAlignment="1">
      <alignment horizontal="left" vertical="top"/>
    </xf>
    <xf numFmtId="167" fontId="27" fillId="12" borderId="3" xfId="0" applyFont="1" applyFill="1" applyBorder="1" applyAlignment="1">
      <alignment vertical="top"/>
    </xf>
    <xf numFmtId="2" fontId="13" fillId="12" borderId="0" xfId="0" quotePrefix="1" applyNumberFormat="1" applyFont="1" applyFill="1" applyBorder="1" applyAlignment="1">
      <alignment horizontal="left" vertical="top"/>
    </xf>
    <xf numFmtId="167" fontId="27" fillId="12" borderId="4" xfId="0" applyFont="1" applyFill="1" applyBorder="1" applyAlignment="1">
      <alignment vertical="top"/>
    </xf>
    <xf numFmtId="167" fontId="27" fillId="12" borderId="0" xfId="0" applyFont="1" applyFill="1" applyBorder="1" applyAlignment="1">
      <alignment vertical="top"/>
    </xf>
    <xf numFmtId="167" fontId="54" fillId="12" borderId="0" xfId="0" applyFont="1" applyFill="1" applyBorder="1" applyAlignment="1">
      <alignment vertical="top"/>
    </xf>
    <xf numFmtId="0" fontId="27" fillId="12" borderId="0" xfId="0" applyNumberFormat="1" applyFont="1" applyFill="1" applyBorder="1" applyAlignment="1">
      <alignment horizontal="left" vertical="top"/>
    </xf>
    <xf numFmtId="0" fontId="36" fillId="12" borderId="0" xfId="2" applyNumberFormat="1" applyFont="1" applyFill="1" applyBorder="1" applyAlignment="1">
      <alignment horizontal="left" vertical="top"/>
    </xf>
    <xf numFmtId="0" fontId="17" fillId="12" borderId="0" xfId="0" applyNumberFormat="1" applyFont="1" applyFill="1" applyBorder="1" applyAlignment="1">
      <alignment horizontal="left" vertical="top"/>
    </xf>
    <xf numFmtId="0" fontId="0" fillId="12" borderId="0" xfId="0" applyNumberFormat="1" applyFill="1" applyBorder="1" applyAlignment="1">
      <alignment vertical="top"/>
    </xf>
    <xf numFmtId="0" fontId="27" fillId="12" borderId="0" xfId="0" applyNumberFormat="1" applyFont="1" applyFill="1" applyBorder="1" applyAlignment="1">
      <alignment vertical="top"/>
    </xf>
    <xf numFmtId="0" fontId="47" fillId="12" borderId="0" xfId="0" applyNumberFormat="1" applyFont="1" applyFill="1" applyBorder="1" applyAlignment="1">
      <alignment vertical="top"/>
    </xf>
    <xf numFmtId="0" fontId="27" fillId="12" borderId="3" xfId="0" applyNumberFormat="1" applyFont="1" applyFill="1" applyBorder="1" applyAlignment="1">
      <alignment horizontal="left" vertical="top"/>
    </xf>
    <xf numFmtId="0" fontId="13" fillId="12" borderId="0" xfId="0" applyNumberFormat="1" applyFont="1" applyFill="1" applyBorder="1" applyAlignment="1">
      <alignment horizontal="right" vertical="top"/>
    </xf>
    <xf numFmtId="0" fontId="54" fillId="12" borderId="0" xfId="0" applyNumberFormat="1" applyFont="1" applyFill="1" applyBorder="1" applyAlignment="1">
      <alignment vertical="top"/>
    </xf>
    <xf numFmtId="167" fontId="42" fillId="12" borderId="0" xfId="0" quotePrefix="1" applyFont="1" applyFill="1" applyBorder="1" applyAlignment="1">
      <alignment horizontal="left" vertical="top"/>
    </xf>
    <xf numFmtId="10" fontId="13" fillId="12" borderId="0" xfId="0" quotePrefix="1" applyNumberFormat="1" applyFont="1" applyFill="1" applyBorder="1" applyAlignment="1">
      <alignment horizontal="left" vertical="top"/>
    </xf>
    <xf numFmtId="0" fontId="67" fillId="12" borderId="0" xfId="0" applyNumberFormat="1" applyFont="1" applyFill="1" applyBorder="1" applyAlignment="1">
      <alignment vertical="top"/>
    </xf>
    <xf numFmtId="0" fontId="13" fillId="12" borderId="0" xfId="0" applyNumberFormat="1" applyFont="1" applyFill="1" applyBorder="1" applyAlignment="1">
      <alignment horizontal="left" vertical="top" wrapText="1"/>
    </xf>
    <xf numFmtId="0" fontId="13" fillId="12" borderId="0" xfId="0" applyNumberFormat="1" applyFont="1" applyFill="1" applyBorder="1" applyAlignment="1">
      <alignment vertical="top"/>
    </xf>
    <xf numFmtId="0" fontId="13" fillId="12" borderId="4" xfId="0" applyNumberFormat="1" applyFont="1" applyFill="1" applyBorder="1" applyAlignment="1">
      <alignment vertical="top"/>
    </xf>
    <xf numFmtId="0" fontId="27" fillId="12" borderId="4" xfId="0" applyNumberFormat="1" applyFont="1" applyFill="1" applyBorder="1" applyAlignment="1">
      <alignment vertical="top"/>
    </xf>
    <xf numFmtId="0" fontId="54" fillId="12" borderId="0" xfId="0" applyNumberFormat="1" applyFont="1" applyFill="1" applyBorder="1" applyAlignment="1">
      <alignment horizontal="left" vertical="top"/>
    </xf>
    <xf numFmtId="0" fontId="47" fillId="12" borderId="0" xfId="2" applyNumberFormat="1" applyFont="1" applyFill="1" applyBorder="1" applyAlignment="1">
      <alignment horizontal="left" vertical="top"/>
    </xf>
    <xf numFmtId="0" fontId="65" fillId="9" borderId="0" xfId="0" applyNumberFormat="1" applyFont="1" applyFill="1" applyAlignment="1">
      <alignment horizontal="right"/>
    </xf>
    <xf numFmtId="167" fontId="0" fillId="9" borderId="0" xfId="0" applyFill="1" applyAlignment="1"/>
    <xf numFmtId="167" fontId="0" fillId="0" borderId="0" xfId="0" applyNumberFormat="1" applyFill="1" applyBorder="1" applyAlignment="1"/>
    <xf numFmtId="9" fontId="0" fillId="0" borderId="0" xfId="0" applyNumberFormat="1" applyFill="1" applyBorder="1" applyAlignment="1">
      <alignment horizontal="left"/>
    </xf>
    <xf numFmtId="167" fontId="14" fillId="12" borderId="0" xfId="0" applyNumberFormat="1" applyFont="1" applyFill="1" applyBorder="1" applyAlignment="1"/>
    <xf numFmtId="167" fontId="13" fillId="12" borderId="0" xfId="0" applyNumberFormat="1" applyFont="1" applyFill="1" applyAlignment="1"/>
    <xf numFmtId="167" fontId="13" fillId="12" borderId="0" xfId="0" applyNumberFormat="1" applyFont="1" applyFill="1" applyBorder="1" applyAlignment="1"/>
    <xf numFmtId="167" fontId="0" fillId="12" borderId="0" xfId="0" applyNumberFormat="1" applyFill="1" applyAlignment="1"/>
    <xf numFmtId="167" fontId="13" fillId="12" borderId="0" xfId="0" applyFont="1" applyFill="1" applyBorder="1" applyAlignment="1"/>
    <xf numFmtId="167" fontId="49" fillId="12" borderId="0" xfId="0" applyFont="1" applyFill="1" applyBorder="1" applyAlignment="1"/>
    <xf numFmtId="2" fontId="0" fillId="12" borderId="0" xfId="0" applyNumberFormat="1" applyFill="1" applyBorder="1" applyAlignment="1">
      <alignment horizontal="left"/>
    </xf>
    <xf numFmtId="2" fontId="26" fillId="12" borderId="0" xfId="0" applyNumberFormat="1" applyFont="1" applyFill="1" applyBorder="1" applyAlignment="1">
      <alignment horizontal="left"/>
    </xf>
    <xf numFmtId="2" fontId="35" fillId="12" borderId="0" xfId="0" applyNumberFormat="1" applyFont="1" applyFill="1" applyBorder="1" applyAlignment="1">
      <alignment horizontal="left"/>
    </xf>
    <xf numFmtId="167" fontId="0" fillId="12" borderId="0" xfId="0" applyFill="1" applyBorder="1" applyAlignment="1"/>
    <xf numFmtId="167" fontId="14" fillId="5" borderId="0" xfId="0" applyNumberFormat="1" applyFont="1" applyFill="1" applyAlignment="1"/>
    <xf numFmtId="167" fontId="14" fillId="5" borderId="0" xfId="0" applyNumberFormat="1" applyFont="1" applyFill="1" applyBorder="1" applyAlignment="1"/>
    <xf numFmtId="10" fontId="0" fillId="0" borderId="0" xfId="0" applyNumberFormat="1" applyFill="1" applyBorder="1" applyAlignment="1">
      <alignment horizontal="left"/>
    </xf>
    <xf numFmtId="9" fontId="0" fillId="0" borderId="12" xfId="0" applyNumberFormat="1" applyFill="1" applyBorder="1" applyAlignment="1">
      <alignment horizontal="left"/>
    </xf>
    <xf numFmtId="2" fontId="13" fillId="0" borderId="0" xfId="0" applyNumberFormat="1" applyFont="1" applyFill="1" applyBorder="1" applyAlignment="1">
      <alignment horizontal="left"/>
    </xf>
    <xf numFmtId="10" fontId="0" fillId="0" borderId="7" xfId="0" applyNumberFormat="1" applyFill="1" applyBorder="1" applyAlignment="1">
      <alignment horizontal="left"/>
    </xf>
    <xf numFmtId="0" fontId="0" fillId="12" borderId="0" xfId="0" applyNumberFormat="1" applyFill="1" applyAlignment="1"/>
    <xf numFmtId="0" fontId="0" fillId="12" borderId="0" xfId="0" applyNumberFormat="1" applyFill="1" applyBorder="1" applyAlignment="1"/>
    <xf numFmtId="0" fontId="13" fillId="12" borderId="0" xfId="0" applyNumberFormat="1" applyFont="1" applyFill="1" applyAlignment="1"/>
    <xf numFmtId="167" fontId="84" fillId="12" borderId="0" xfId="0" applyFont="1" applyFill="1" applyBorder="1" applyAlignment="1">
      <alignment horizontal="justify"/>
    </xf>
    <xf numFmtId="167" fontId="83" fillId="12" borderId="0" xfId="0" applyFont="1" applyFill="1" applyBorder="1" applyAlignment="1">
      <alignment horizontal="left"/>
    </xf>
    <xf numFmtId="167" fontId="83" fillId="12" borderId="0" xfId="0" applyFont="1" applyFill="1" applyBorder="1" applyAlignment="1">
      <alignment horizontal="left" indent="1"/>
    </xf>
    <xf numFmtId="9" fontId="0" fillId="12" borderId="0" xfId="2" applyFont="1" applyFill="1" applyAlignment="1">
      <alignment horizontal="left"/>
    </xf>
    <xf numFmtId="10" fontId="0" fillId="12" borderId="0" xfId="2" applyNumberFormat="1" applyFont="1" applyFill="1" applyBorder="1" applyAlignment="1">
      <alignment horizontal="left"/>
    </xf>
    <xf numFmtId="0" fontId="0" fillId="12" borderId="0" xfId="2" applyNumberFormat="1" applyFont="1" applyFill="1" applyAlignment="1">
      <alignment horizontal="left"/>
    </xf>
    <xf numFmtId="10" fontId="13" fillId="12" borderId="0" xfId="2" applyNumberFormat="1" applyFont="1" applyFill="1" applyAlignment="1">
      <alignment horizontal="left"/>
    </xf>
    <xf numFmtId="10" fontId="13" fillId="12" borderId="0" xfId="2" applyNumberFormat="1" applyFont="1" applyFill="1" applyBorder="1" applyAlignment="1">
      <alignment horizontal="left"/>
    </xf>
    <xf numFmtId="167" fontId="83" fillId="12" borderId="0" xfId="0" applyFont="1" applyFill="1" applyBorder="1" applyAlignment="1">
      <alignment horizontal="justify"/>
    </xf>
    <xf numFmtId="167" fontId="84" fillId="12" borderId="0" xfId="0" applyFont="1" applyFill="1" applyBorder="1" applyAlignment="1">
      <alignment horizontal="left"/>
    </xf>
    <xf numFmtId="0" fontId="46" fillId="0" borderId="0" xfId="0" applyNumberFormat="1" applyFont="1" applyFill="1" applyAlignment="1">
      <alignment horizontal="right"/>
    </xf>
    <xf numFmtId="10" fontId="43" fillId="5" borderId="0" xfId="2" quotePrefix="1" applyNumberFormat="1" applyFont="1" applyFill="1" applyBorder="1" applyAlignment="1">
      <alignment horizontal="left" vertical="top"/>
    </xf>
    <xf numFmtId="167" fontId="62" fillId="5" borderId="0" xfId="0" applyFont="1" applyFill="1"/>
    <xf numFmtId="0" fontId="26" fillId="0" borderId="4" xfId="0" applyNumberFormat="1" applyFont="1" applyFill="1" applyBorder="1" applyAlignment="1">
      <alignment horizontal="left" vertical="top"/>
    </xf>
    <xf numFmtId="0" fontId="26" fillId="0" borderId="0" xfId="0" applyNumberFormat="1" applyFont="1" applyFill="1" applyBorder="1" applyAlignment="1">
      <alignment horizontal="left" vertical="top"/>
    </xf>
    <xf numFmtId="0" fontId="26" fillId="0" borderId="5" xfId="0" applyNumberFormat="1" applyFont="1" applyFill="1" applyBorder="1" applyAlignment="1">
      <alignment horizontal="left" vertical="top"/>
    </xf>
    <xf numFmtId="10" fontId="13" fillId="0" borderId="13" xfId="2" applyNumberFormat="1" applyFont="1" applyFill="1" applyBorder="1" applyAlignment="1">
      <alignment horizontal="left" vertical="top"/>
    </xf>
    <xf numFmtId="10" fontId="42" fillId="0" borderId="12" xfId="2" applyNumberFormat="1" applyFont="1" applyFill="1" applyBorder="1" applyAlignment="1">
      <alignment horizontal="left" vertical="top"/>
    </xf>
    <xf numFmtId="167" fontId="14" fillId="0" borderId="13" xfId="0" quotePrefix="1" applyFont="1" applyFill="1" applyBorder="1" applyAlignment="1">
      <alignment horizontal="left" vertical="top"/>
    </xf>
    <xf numFmtId="167" fontId="14" fillId="0" borderId="14" xfId="0" quotePrefix="1" applyFont="1" applyFill="1" applyBorder="1" applyAlignment="1">
      <alignment horizontal="left" vertical="top"/>
    </xf>
    <xf numFmtId="0" fontId="26" fillId="0" borderId="4" xfId="2" applyNumberFormat="1" applyFont="1" applyFill="1" applyBorder="1" applyAlignment="1">
      <alignment horizontal="left" vertical="top"/>
    </xf>
    <xf numFmtId="0" fontId="26" fillId="0" borderId="0" xfId="2" applyNumberFormat="1" applyFont="1" applyFill="1" applyBorder="1" applyAlignment="1">
      <alignment horizontal="left" vertical="top"/>
    </xf>
    <xf numFmtId="10" fontId="13" fillId="0" borderId="13" xfId="0" applyNumberFormat="1" applyFont="1" applyBorder="1" applyAlignment="1">
      <alignment horizontal="left" vertical="top"/>
    </xf>
    <xf numFmtId="10" fontId="13" fillId="0" borderId="12" xfId="0" applyNumberFormat="1" applyFont="1" applyBorder="1" applyAlignment="1">
      <alignment horizontal="left" vertical="top"/>
    </xf>
    <xf numFmtId="166" fontId="14" fillId="0" borderId="7" xfId="2" applyNumberFormat="1" applyFont="1" applyFill="1" applyBorder="1" applyAlignment="1">
      <alignment horizontal="left" indent="1"/>
    </xf>
    <xf numFmtId="167" fontId="35" fillId="0" borderId="0" xfId="0" applyFont="1" applyFill="1" applyBorder="1" applyAlignment="1">
      <alignment horizontal="left" vertical="top"/>
    </xf>
    <xf numFmtId="0" fontId="26" fillId="0" borderId="0" xfId="0" applyNumberFormat="1" applyFont="1" applyBorder="1" applyAlignment="1">
      <alignment horizontal="right" vertical="top"/>
    </xf>
    <xf numFmtId="9" fontId="26" fillId="0" borderId="0" xfId="0" applyNumberFormat="1" applyFont="1" applyBorder="1" applyAlignment="1">
      <alignment horizontal="left" vertical="top"/>
    </xf>
    <xf numFmtId="2" fontId="47" fillId="0" borderId="13" xfId="0" applyNumberFormat="1" applyFont="1" applyFill="1" applyBorder="1" applyAlignment="1">
      <alignment horizontal="left" vertical="top"/>
    </xf>
    <xf numFmtId="167" fontId="47" fillId="0" borderId="14" xfId="0" applyFont="1" applyBorder="1" applyAlignment="1">
      <alignment vertical="top"/>
    </xf>
    <xf numFmtId="10" fontId="32" fillId="11" borderId="9" xfId="0" applyNumberFormat="1" applyFont="1" applyFill="1" applyBorder="1" applyAlignment="1">
      <alignment horizontal="left" vertical="top"/>
    </xf>
    <xf numFmtId="167" fontId="14" fillId="6" borderId="0" xfId="0" applyFont="1" applyFill="1" applyBorder="1" applyAlignment="1">
      <alignment horizontal="left" vertical="top"/>
    </xf>
    <xf numFmtId="10" fontId="14" fillId="6" borderId="0" xfId="0" applyNumberFormat="1" applyFont="1" applyFill="1" applyBorder="1" applyAlignment="1">
      <alignment horizontal="left" vertical="top"/>
    </xf>
    <xf numFmtId="166" fontId="14" fillId="6" borderId="0" xfId="0" applyNumberFormat="1" applyFont="1" applyFill="1" applyBorder="1" applyAlignment="1">
      <alignment horizontal="left" vertical="top"/>
    </xf>
    <xf numFmtId="2" fontId="14" fillId="6" borderId="0" xfId="2" applyNumberFormat="1" applyFont="1" applyFill="1" applyBorder="1" applyAlignment="1">
      <alignment horizontal="left" vertical="top"/>
    </xf>
    <xf numFmtId="2" fontId="14" fillId="6" borderId="0" xfId="0" applyNumberFormat="1" applyFont="1" applyFill="1" applyBorder="1" applyAlignment="1">
      <alignment horizontal="left" vertical="top"/>
    </xf>
    <xf numFmtId="10" fontId="56" fillId="17" borderId="7" xfId="0" applyNumberFormat="1" applyFont="1" applyFill="1" applyBorder="1" applyAlignment="1">
      <alignment horizontal="left" vertical="top"/>
    </xf>
    <xf numFmtId="9" fontId="13" fillId="17" borderId="0" xfId="2" applyFont="1" applyFill="1" applyBorder="1" applyAlignment="1">
      <alignment horizontal="center" vertical="top"/>
    </xf>
    <xf numFmtId="9" fontId="13" fillId="17" borderId="0" xfId="0" applyNumberFormat="1" applyFont="1" applyFill="1" applyBorder="1" applyAlignment="1">
      <alignment horizontal="left" vertical="top"/>
    </xf>
    <xf numFmtId="2" fontId="13" fillId="17" borderId="0" xfId="2" applyNumberFormat="1" applyFont="1" applyFill="1" applyBorder="1" applyAlignment="1">
      <alignment horizontal="left" vertical="top"/>
    </xf>
    <xf numFmtId="10" fontId="13" fillId="17" borderId="0" xfId="0" applyNumberFormat="1" applyFont="1" applyFill="1" applyBorder="1" applyAlignment="1">
      <alignment horizontal="center" vertical="top"/>
    </xf>
    <xf numFmtId="167" fontId="0" fillId="0" borderId="0" xfId="0" applyFill="1" applyBorder="1" applyAlignment="1"/>
    <xf numFmtId="10" fontId="47" fillId="0" borderId="0" xfId="0" applyNumberFormat="1" applyFont="1" applyFill="1" applyBorder="1" applyAlignment="1">
      <alignment horizontal="left"/>
    </xf>
    <xf numFmtId="9" fontId="47" fillId="0" borderId="0" xfId="0" applyNumberFormat="1" applyFont="1" applyFill="1" applyBorder="1" applyAlignment="1">
      <alignment horizontal="left"/>
    </xf>
    <xf numFmtId="167" fontId="13" fillId="0" borderId="0" xfId="0" applyFont="1" applyFill="1" applyBorder="1" applyAlignment="1">
      <alignment horizontal="left"/>
    </xf>
    <xf numFmtId="165" fontId="0" fillId="0" borderId="0" xfId="0" applyNumberFormat="1" applyFill="1" applyBorder="1" applyAlignment="1">
      <alignment horizontal="left"/>
    </xf>
    <xf numFmtId="9" fontId="47" fillId="0" borderId="45" xfId="2" applyFont="1" applyFill="1" applyBorder="1" applyAlignment="1">
      <alignment horizontal="left"/>
    </xf>
    <xf numFmtId="2" fontId="0" fillId="0" borderId="0" xfId="0" applyNumberFormat="1" applyFill="1" applyBorder="1" applyAlignment="1">
      <alignment horizontal="left"/>
    </xf>
    <xf numFmtId="2" fontId="47" fillId="0" borderId="0" xfId="0" applyNumberFormat="1" applyFont="1" applyFill="1" applyBorder="1" applyAlignment="1">
      <alignment horizontal="left"/>
    </xf>
    <xf numFmtId="167" fontId="13" fillId="0" borderId="0" xfId="0" applyFont="1" applyFill="1" applyAlignment="1"/>
    <xf numFmtId="166" fontId="0" fillId="0" borderId="12" xfId="0" applyNumberFormat="1" applyFill="1" applyBorder="1" applyAlignment="1">
      <alignment horizontal="left"/>
    </xf>
    <xf numFmtId="167" fontId="13" fillId="0" borderId="0" xfId="0" applyNumberFormat="1" applyFont="1" applyFill="1" applyBorder="1" applyAlignment="1"/>
    <xf numFmtId="165" fontId="47" fillId="0" borderId="0" xfId="0" applyNumberFormat="1" applyFont="1" applyFill="1" applyBorder="1" applyAlignment="1">
      <alignment horizontal="left"/>
    </xf>
    <xf numFmtId="165" fontId="0" fillId="0" borderId="0" xfId="0" applyNumberFormat="1" applyFill="1" applyAlignment="1"/>
    <xf numFmtId="166" fontId="47" fillId="0" borderId="0" xfId="0" applyNumberFormat="1" applyFont="1" applyFill="1" applyBorder="1" applyAlignment="1">
      <alignment horizontal="left"/>
    </xf>
    <xf numFmtId="166" fontId="47" fillId="0" borderId="45" xfId="2" applyNumberFormat="1" applyFont="1" applyFill="1" applyBorder="1" applyAlignment="1">
      <alignment horizontal="left"/>
    </xf>
    <xf numFmtId="166" fontId="0" fillId="0" borderId="0" xfId="0" applyNumberFormat="1" applyFill="1" applyAlignment="1"/>
    <xf numFmtId="167" fontId="25" fillId="0" borderId="0" xfId="0" applyNumberFormat="1" applyFont="1" applyFill="1" applyBorder="1" applyAlignment="1"/>
    <xf numFmtId="167" fontId="5" fillId="0" borderId="0" xfId="0" applyFont="1" applyFill="1" applyBorder="1" applyAlignment="1"/>
    <xf numFmtId="167" fontId="5" fillId="0" borderId="0" xfId="0" applyNumberFormat="1" applyFont="1" applyFill="1" applyAlignment="1"/>
    <xf numFmtId="167" fontId="109" fillId="0" borderId="0" xfId="0" applyNumberFormat="1" applyFont="1" applyFill="1" applyBorder="1" applyAlignment="1"/>
    <xf numFmtId="167" fontId="5" fillId="0" borderId="0" xfId="0" applyFont="1" applyFill="1" applyAlignment="1"/>
    <xf numFmtId="167" fontId="99" fillId="0" borderId="7" xfId="0" applyFont="1" applyFill="1" applyBorder="1" applyAlignment="1">
      <alignment horizontal="left"/>
    </xf>
    <xf numFmtId="167" fontId="5" fillId="0" borderId="12" xfId="0" applyFont="1" applyBorder="1" applyAlignment="1"/>
    <xf numFmtId="10" fontId="5" fillId="0" borderId="12" xfId="0" applyNumberFormat="1" applyFont="1" applyFill="1" applyBorder="1" applyAlignment="1">
      <alignment horizontal="left"/>
    </xf>
    <xf numFmtId="166" fontId="5" fillId="0" borderId="0" xfId="0" applyNumberFormat="1" applyFont="1" applyFill="1" applyBorder="1" applyAlignment="1">
      <alignment horizontal="left"/>
    </xf>
    <xf numFmtId="167" fontId="5" fillId="0" borderId="0" xfId="0" applyFont="1" applyBorder="1" applyAlignment="1"/>
    <xf numFmtId="10" fontId="5" fillId="0" borderId="0" xfId="0" applyNumberFormat="1" applyFont="1" applyFill="1" applyBorder="1" applyAlignment="1">
      <alignment horizontal="left"/>
    </xf>
    <xf numFmtId="167" fontId="5" fillId="0" borderId="7" xfId="0" applyNumberFormat="1" applyFont="1" applyFill="1" applyBorder="1" applyAlignment="1"/>
    <xf numFmtId="167" fontId="5" fillId="0" borderId="10" xfId="0" applyNumberFormat="1" applyFont="1" applyFill="1" applyBorder="1" applyAlignment="1"/>
    <xf numFmtId="166" fontId="5" fillId="0" borderId="10" xfId="0" applyNumberFormat="1" applyFont="1" applyFill="1" applyBorder="1" applyAlignment="1">
      <alignment horizontal="left"/>
    </xf>
    <xf numFmtId="166" fontId="5" fillId="0" borderId="12" xfId="0" applyNumberFormat="1" applyFont="1" applyFill="1" applyBorder="1" applyAlignment="1">
      <alignment horizontal="left"/>
    </xf>
    <xf numFmtId="167" fontId="25" fillId="0" borderId="0" xfId="0" applyFont="1" applyFill="1" applyBorder="1" applyAlignment="1"/>
    <xf numFmtId="167" fontId="25" fillId="0" borderId="0" xfId="0" applyNumberFormat="1" applyFont="1" applyFill="1" applyAlignment="1"/>
    <xf numFmtId="10" fontId="106" fillId="0" borderId="0" xfId="2" applyNumberFormat="1" applyFont="1" applyFill="1" applyBorder="1" applyAlignment="1">
      <alignment horizontal="left"/>
    </xf>
    <xf numFmtId="165" fontId="25" fillId="0" borderId="0" xfId="0" applyNumberFormat="1" applyFont="1" applyFill="1" applyBorder="1" applyAlignment="1">
      <alignment horizontal="left"/>
    </xf>
    <xf numFmtId="166" fontId="25" fillId="0" borderId="0" xfId="0" applyNumberFormat="1" applyFont="1" applyFill="1" applyBorder="1" applyAlignment="1">
      <alignment horizontal="left"/>
    </xf>
    <xf numFmtId="10" fontId="25" fillId="0" borderId="0" xfId="0" applyNumberFormat="1" applyFont="1" applyFill="1" applyBorder="1" applyAlignment="1">
      <alignment horizontal="left"/>
    </xf>
    <xf numFmtId="9" fontId="25" fillId="0" borderId="0" xfId="0" applyNumberFormat="1" applyFont="1" applyFill="1" applyBorder="1" applyAlignment="1">
      <alignment horizontal="left"/>
    </xf>
    <xf numFmtId="167" fontId="24" fillId="0" borderId="0" xfId="0" applyFont="1" applyFill="1" applyBorder="1" applyAlignment="1"/>
    <xf numFmtId="167" fontId="24" fillId="0" borderId="0" xfId="0" applyNumberFormat="1" applyFont="1" applyFill="1" applyAlignment="1"/>
    <xf numFmtId="167" fontId="111" fillId="0" borderId="0" xfId="0" applyNumberFormat="1" applyFont="1" applyFill="1" applyBorder="1" applyAlignment="1"/>
    <xf numFmtId="10" fontId="112" fillId="0" borderId="0" xfId="2" applyNumberFormat="1" applyFont="1" applyFill="1" applyBorder="1" applyAlignment="1">
      <alignment horizontal="left"/>
    </xf>
    <xf numFmtId="167" fontId="24" fillId="0" borderId="0" xfId="0" applyFont="1" applyAlignment="1"/>
    <xf numFmtId="167" fontId="24" fillId="0" borderId="0" xfId="0" applyFont="1" applyFill="1" applyAlignment="1"/>
    <xf numFmtId="167" fontId="112" fillId="0" borderId="7" xfId="0" applyFont="1" applyFill="1" applyBorder="1" applyAlignment="1">
      <alignment horizontal="left"/>
    </xf>
    <xf numFmtId="167" fontId="24" fillId="0" borderId="7" xfId="0" applyFont="1" applyFill="1" applyBorder="1" applyAlignment="1"/>
    <xf numFmtId="167" fontId="24" fillId="0" borderId="12" xfId="0" applyFont="1" applyBorder="1" applyAlignment="1"/>
    <xf numFmtId="10" fontId="24" fillId="0" borderId="12" xfId="0" applyNumberFormat="1" applyFont="1" applyFill="1" applyBorder="1" applyAlignment="1">
      <alignment horizontal="left"/>
    </xf>
    <xf numFmtId="165" fontId="24" fillId="0" borderId="0" xfId="0" applyNumberFormat="1" applyFont="1" applyFill="1" applyBorder="1" applyAlignment="1">
      <alignment horizontal="left"/>
    </xf>
    <xf numFmtId="166" fontId="24" fillId="0" borderId="0" xfId="0" applyNumberFormat="1" applyFont="1" applyFill="1" applyBorder="1" applyAlignment="1">
      <alignment horizontal="left"/>
    </xf>
    <xf numFmtId="167" fontId="24" fillId="0" borderId="0" xfId="0" applyFont="1" applyBorder="1" applyAlignment="1"/>
    <xf numFmtId="10" fontId="24" fillId="0" borderId="0" xfId="0" applyNumberFormat="1" applyFont="1" applyFill="1" applyBorder="1" applyAlignment="1">
      <alignment horizontal="left"/>
    </xf>
    <xf numFmtId="167" fontId="24" fillId="0" borderId="7" xfId="0" applyFont="1" applyBorder="1" applyAlignment="1"/>
    <xf numFmtId="165" fontId="24" fillId="0" borderId="7" xfId="0" applyNumberFormat="1" applyFont="1" applyFill="1" applyBorder="1" applyAlignment="1">
      <alignment horizontal="left"/>
    </xf>
    <xf numFmtId="166" fontId="24" fillId="0" borderId="7" xfId="0" applyNumberFormat="1" applyFont="1" applyFill="1" applyBorder="1" applyAlignment="1">
      <alignment horizontal="left"/>
    </xf>
    <xf numFmtId="167" fontId="24" fillId="0" borderId="7" xfId="0" applyNumberFormat="1" applyFont="1" applyFill="1" applyBorder="1" applyAlignment="1"/>
    <xf numFmtId="167" fontId="112" fillId="0" borderId="10" xfId="0" applyFont="1" applyFill="1" applyBorder="1" applyAlignment="1">
      <alignment horizontal="left"/>
    </xf>
    <xf numFmtId="167" fontId="24" fillId="0" borderId="10" xfId="0" applyNumberFormat="1" applyFont="1" applyFill="1" applyBorder="1" applyAlignment="1"/>
    <xf numFmtId="166" fontId="24" fillId="0" borderId="10" xfId="0" applyNumberFormat="1" applyFont="1" applyFill="1" applyBorder="1" applyAlignment="1">
      <alignment horizontal="left"/>
    </xf>
    <xf numFmtId="167" fontId="24" fillId="0" borderId="10" xfId="0" applyFont="1" applyFill="1" applyBorder="1" applyAlignment="1"/>
    <xf numFmtId="9" fontId="24" fillId="0" borderId="12" xfId="0" applyNumberFormat="1" applyFont="1" applyFill="1" applyBorder="1" applyAlignment="1">
      <alignment horizontal="left"/>
    </xf>
    <xf numFmtId="165" fontId="24" fillId="0" borderId="12" xfId="0" applyNumberFormat="1" applyFont="1" applyFill="1" applyBorder="1" applyAlignment="1">
      <alignment horizontal="left"/>
    </xf>
    <xf numFmtId="166" fontId="24" fillId="0" borderId="12" xfId="0" applyNumberFormat="1" applyFont="1" applyFill="1" applyBorder="1" applyAlignment="1">
      <alignment horizontal="left"/>
    </xf>
    <xf numFmtId="9" fontId="24" fillId="0" borderId="0" xfId="0" applyNumberFormat="1" applyFont="1" applyFill="1" applyBorder="1" applyAlignment="1">
      <alignment horizontal="left"/>
    </xf>
    <xf numFmtId="167" fontId="24" fillId="0" borderId="0" xfId="0" applyFont="1" applyFill="1" applyBorder="1" applyAlignment="1">
      <alignment horizontal="left"/>
    </xf>
    <xf numFmtId="2" fontId="24" fillId="0" borderId="0" xfId="0" applyNumberFormat="1" applyFont="1" applyFill="1" applyBorder="1" applyAlignment="1">
      <alignment horizontal="left"/>
    </xf>
    <xf numFmtId="167" fontId="112" fillId="0" borderId="12" xfId="0" applyFont="1" applyBorder="1" applyAlignment="1"/>
    <xf numFmtId="167" fontId="24" fillId="0" borderId="45" xfId="0" applyFont="1" applyBorder="1" applyAlignment="1"/>
    <xf numFmtId="167" fontId="112" fillId="0" borderId="45" xfId="0" applyFont="1" applyBorder="1" applyAlignment="1"/>
    <xf numFmtId="10" fontId="24" fillId="0" borderId="45" xfId="0" applyNumberFormat="1" applyFont="1" applyFill="1" applyBorder="1" applyAlignment="1">
      <alignment horizontal="left"/>
    </xf>
    <xf numFmtId="165" fontId="24" fillId="0" borderId="45" xfId="0" applyNumberFormat="1" applyFont="1" applyFill="1" applyBorder="1" applyAlignment="1">
      <alignment horizontal="left"/>
    </xf>
    <xf numFmtId="167" fontId="24" fillId="0" borderId="43" xfId="0" applyFont="1" applyBorder="1" applyAlignment="1"/>
    <xf numFmtId="167" fontId="112" fillId="0" borderId="43" xfId="0" applyFont="1" applyBorder="1" applyAlignment="1"/>
    <xf numFmtId="10" fontId="24" fillId="0" borderId="7" xfId="0" applyNumberFormat="1" applyFont="1" applyFill="1" applyBorder="1" applyAlignment="1">
      <alignment horizontal="left"/>
    </xf>
    <xf numFmtId="167" fontId="24" fillId="0" borderId="50" xfId="0" applyNumberFormat="1" applyFont="1" applyFill="1" applyBorder="1" applyAlignment="1"/>
    <xf numFmtId="167" fontId="112" fillId="0" borderId="92" xfId="0" applyFont="1" applyFill="1" applyBorder="1" applyAlignment="1">
      <alignment horizontal="left"/>
    </xf>
    <xf numFmtId="166" fontId="24" fillId="0" borderId="94" xfId="0" applyNumberFormat="1" applyFont="1" applyFill="1" applyBorder="1" applyAlignment="1">
      <alignment horizontal="left"/>
    </xf>
    <xf numFmtId="167" fontId="24" fillId="0" borderId="81" xfId="0" applyNumberFormat="1" applyFont="1" applyFill="1" applyBorder="1" applyAlignment="1"/>
    <xf numFmtId="9" fontId="24" fillId="0" borderId="93" xfId="0" applyNumberFormat="1" applyFont="1" applyFill="1" applyBorder="1" applyAlignment="1">
      <alignment horizontal="left"/>
    </xf>
    <xf numFmtId="9" fontId="47" fillId="0" borderId="93" xfId="0" applyNumberFormat="1" applyFont="1" applyFill="1" applyBorder="1" applyAlignment="1">
      <alignment horizontal="left"/>
    </xf>
    <xf numFmtId="10" fontId="24" fillId="0" borderId="93" xfId="0" applyNumberFormat="1" applyFont="1" applyFill="1" applyBorder="1" applyAlignment="1">
      <alignment horizontal="left"/>
    </xf>
    <xf numFmtId="10" fontId="47" fillId="0" borderId="93" xfId="0" applyNumberFormat="1" applyFont="1" applyFill="1" applyBorder="1" applyAlignment="1">
      <alignment horizontal="left"/>
    </xf>
    <xf numFmtId="165" fontId="24" fillId="0" borderId="93" xfId="0" applyNumberFormat="1" applyFont="1" applyFill="1" applyBorder="1" applyAlignment="1">
      <alignment horizontal="left"/>
    </xf>
    <xf numFmtId="9" fontId="47" fillId="0" borderId="95" xfId="2" applyFont="1" applyFill="1" applyBorder="1" applyAlignment="1">
      <alignment horizontal="left"/>
    </xf>
    <xf numFmtId="2" fontId="24" fillId="0" borderId="93" xfId="0" applyNumberFormat="1" applyFont="1" applyFill="1" applyBorder="1" applyAlignment="1">
      <alignment horizontal="left"/>
    </xf>
    <xf numFmtId="2" fontId="47" fillId="0" borderId="93" xfId="0" applyNumberFormat="1" applyFont="1" applyFill="1" applyBorder="1" applyAlignment="1">
      <alignment horizontal="left"/>
    </xf>
    <xf numFmtId="167" fontId="0" fillId="0" borderId="93" xfId="0" applyFill="1" applyBorder="1" applyAlignment="1"/>
    <xf numFmtId="165" fontId="0" fillId="0" borderId="0" xfId="0" applyNumberFormat="1" applyFill="1" applyBorder="1" applyAlignment="1"/>
    <xf numFmtId="10" fontId="24" fillId="0" borderId="96" xfId="0" applyNumberFormat="1" applyFont="1" applyFill="1" applyBorder="1" applyAlignment="1">
      <alignment horizontal="left"/>
    </xf>
    <xf numFmtId="10" fontId="24" fillId="0" borderId="95" xfId="0" applyNumberFormat="1" applyFont="1" applyFill="1" applyBorder="1" applyAlignment="1">
      <alignment horizontal="left"/>
    </xf>
    <xf numFmtId="10" fontId="24" fillId="0" borderId="92" xfId="0" applyNumberFormat="1" applyFont="1" applyFill="1" applyBorder="1" applyAlignment="1">
      <alignment horizontal="left"/>
    </xf>
    <xf numFmtId="167" fontId="24" fillId="0" borderId="0" xfId="0" quotePrefix="1" applyNumberFormat="1" applyFont="1" applyFill="1" applyBorder="1" applyAlignment="1"/>
    <xf numFmtId="1" fontId="24" fillId="0" borderId="0" xfId="0" applyNumberFormat="1" applyFont="1" applyFill="1" applyBorder="1" applyAlignment="1">
      <alignment horizontal="left"/>
    </xf>
    <xf numFmtId="2" fontId="24" fillId="0" borderId="45" xfId="0" applyNumberFormat="1" applyFont="1" applyFill="1" applyBorder="1" applyAlignment="1">
      <alignment horizontal="left"/>
    </xf>
    <xf numFmtId="167" fontId="24" fillId="0" borderId="45" xfId="0" quotePrefix="1" applyNumberFormat="1" applyFont="1" applyFill="1" applyBorder="1" applyAlignment="1"/>
    <xf numFmtId="167" fontId="113" fillId="0" borderId="0" xfId="0" applyNumberFormat="1" applyFont="1" applyFill="1" applyBorder="1" applyAlignment="1"/>
    <xf numFmtId="167" fontId="24" fillId="0" borderId="0" xfId="0" applyNumberFormat="1" applyFont="1" applyFill="1" applyBorder="1" applyAlignment="1"/>
    <xf numFmtId="166" fontId="0" fillId="0" borderId="0" xfId="0" applyNumberFormat="1" applyBorder="1" applyAlignment="1">
      <alignment horizontal="left"/>
    </xf>
    <xf numFmtId="167" fontId="24" fillId="12" borderId="0" xfId="0" applyNumberFormat="1" applyFont="1" applyFill="1" applyAlignment="1"/>
    <xf numFmtId="10" fontId="24" fillId="0" borderId="0" xfId="0" applyNumberFormat="1" applyFont="1" applyBorder="1" applyAlignment="1">
      <alignment horizontal="left"/>
    </xf>
    <xf numFmtId="167" fontId="47" fillId="0" borderId="0" xfId="0" applyNumberFormat="1" applyFont="1" applyFill="1" applyAlignment="1"/>
    <xf numFmtId="167" fontId="42" fillId="0" borderId="0" xfId="0" applyFont="1" applyFill="1" applyBorder="1" applyAlignment="1"/>
    <xf numFmtId="10" fontId="42" fillId="0" borderId="0" xfId="0" applyNumberFormat="1" applyFont="1" applyFill="1" applyBorder="1" applyAlignment="1">
      <alignment horizontal="left"/>
    </xf>
    <xf numFmtId="167" fontId="42" fillId="0" borderId="0" xfId="0" applyNumberFormat="1" applyFont="1" applyFill="1" applyAlignment="1"/>
    <xf numFmtId="10" fontId="42" fillId="0" borderId="0" xfId="0" applyNumberFormat="1" applyFont="1" applyBorder="1" applyAlignment="1">
      <alignment horizontal="left"/>
    </xf>
    <xf numFmtId="2" fontId="25" fillId="0" borderId="0" xfId="0" applyNumberFormat="1" applyFont="1" applyFill="1" applyBorder="1" applyAlignment="1">
      <alignment horizontal="left"/>
    </xf>
    <xf numFmtId="167" fontId="13" fillId="0" borderId="45" xfId="0" applyFont="1" applyFill="1" applyBorder="1" applyAlignment="1"/>
    <xf numFmtId="167" fontId="112" fillId="12" borderId="0" xfId="0" applyNumberFormat="1" applyFont="1" applyFill="1" applyBorder="1" applyAlignment="1"/>
    <xf numFmtId="167" fontId="24" fillId="0" borderId="10" xfId="0" applyFont="1" applyBorder="1" applyAlignment="1">
      <alignment horizontal="left"/>
    </xf>
    <xf numFmtId="167" fontId="24" fillId="0" borderId="10" xfId="0" applyFont="1" applyBorder="1" applyAlignment="1">
      <alignment horizontal="left" indent="1"/>
    </xf>
    <xf numFmtId="167" fontId="112" fillId="0" borderId="0" xfId="0" applyNumberFormat="1" applyFont="1" applyFill="1" applyBorder="1" applyAlignment="1"/>
    <xf numFmtId="167" fontId="14" fillId="12" borderId="0" xfId="0" applyNumberFormat="1" applyFont="1" applyFill="1" applyAlignment="1"/>
    <xf numFmtId="165" fontId="24" fillId="0" borderId="10" xfId="0" applyNumberFormat="1" applyFont="1" applyFill="1" applyBorder="1" applyAlignment="1">
      <alignment horizontal="left"/>
    </xf>
    <xf numFmtId="9" fontId="24" fillId="0" borderId="10" xfId="0" applyNumberFormat="1" applyFont="1" applyFill="1" applyBorder="1" applyAlignment="1">
      <alignment horizontal="left"/>
    </xf>
    <xf numFmtId="9" fontId="24" fillId="0" borderId="81" xfId="0" applyNumberFormat="1" applyFont="1" applyFill="1" applyBorder="1" applyAlignment="1">
      <alignment horizontal="left"/>
    </xf>
    <xf numFmtId="0" fontId="14" fillId="0" borderId="0" xfId="2" applyNumberFormat="1" applyFont="1" applyFill="1" applyBorder="1" applyAlignment="1">
      <alignment horizontal="left"/>
    </xf>
    <xf numFmtId="167" fontId="0" fillId="0" borderId="96" xfId="0" applyNumberFormat="1" applyFill="1" applyBorder="1" applyAlignment="1"/>
    <xf numFmtId="167" fontId="0" fillId="0" borderId="93" xfId="0" applyNumberFormat="1" applyFill="1" applyBorder="1" applyAlignment="1"/>
    <xf numFmtId="167" fontId="0" fillId="0" borderId="92" xfId="0" applyNumberFormat="1" applyFill="1" applyBorder="1" applyAlignment="1"/>
    <xf numFmtId="166" fontId="42" fillId="0" borderId="10" xfId="0" applyNumberFormat="1" applyFont="1" applyFill="1" applyBorder="1" applyAlignment="1">
      <alignment horizontal="left"/>
    </xf>
    <xf numFmtId="167" fontId="13" fillId="0" borderId="10" xfId="0" applyFont="1" applyFill="1" applyBorder="1" applyAlignment="1">
      <alignment horizontal="left" indent="1"/>
    </xf>
    <xf numFmtId="166" fontId="0" fillId="0" borderId="0" xfId="0" applyNumberFormat="1" applyFill="1" applyBorder="1" applyAlignment="1"/>
    <xf numFmtId="166" fontId="42" fillId="0" borderId="0" xfId="0" applyNumberFormat="1" applyFont="1" applyBorder="1" applyAlignment="1">
      <alignment horizontal="left"/>
    </xf>
    <xf numFmtId="167" fontId="42" fillId="0" borderId="0" xfId="0" applyFont="1" applyBorder="1" applyAlignment="1"/>
    <xf numFmtId="166" fontId="5" fillId="0" borderId="12" xfId="0" applyNumberFormat="1" applyFont="1" applyBorder="1" applyAlignment="1">
      <alignment horizontal="left"/>
    </xf>
    <xf numFmtId="167" fontId="0" fillId="12" borderId="0" xfId="0" applyNumberFormat="1" applyFill="1" applyBorder="1" applyAlignment="1"/>
    <xf numFmtId="167" fontId="42" fillId="0" borderId="0" xfId="0" applyNumberFormat="1" applyFont="1" applyFill="1" applyBorder="1" applyAlignment="1"/>
    <xf numFmtId="167" fontId="13" fillId="0" borderId="54" xfId="0" applyFont="1" applyFill="1" applyBorder="1" applyAlignment="1"/>
    <xf numFmtId="167" fontId="14" fillId="0" borderId="12" xfId="0" applyFont="1" applyFill="1" applyBorder="1" applyAlignment="1">
      <alignment horizontal="left"/>
    </xf>
    <xf numFmtId="166" fontId="0" fillId="0" borderId="7" xfId="0" applyNumberFormat="1" applyBorder="1" applyAlignment="1">
      <alignment horizontal="left"/>
    </xf>
    <xf numFmtId="167" fontId="96" fillId="0" borderId="0" xfId="0" applyFont="1" applyFill="1" applyBorder="1" applyAlignment="1"/>
    <xf numFmtId="167" fontId="96" fillId="0" borderId="0" xfId="0" applyFont="1" applyFill="1" applyBorder="1" applyAlignment="1">
      <alignment horizontal="left"/>
    </xf>
    <xf numFmtId="9" fontId="13" fillId="0" borderId="13" xfId="2" applyFont="1" applyFill="1" applyBorder="1" applyAlignment="1">
      <alignment vertical="top"/>
    </xf>
    <xf numFmtId="167" fontId="42" fillId="0" borderId="5" xfId="0" applyFont="1" applyFill="1" applyBorder="1" applyAlignment="1">
      <alignment horizontal="left" vertical="top"/>
    </xf>
    <xf numFmtId="9" fontId="13" fillId="0" borderId="14" xfId="2" applyFont="1" applyFill="1" applyBorder="1" applyAlignment="1">
      <alignment vertical="top"/>
    </xf>
    <xf numFmtId="9" fontId="42" fillId="0" borderId="5" xfId="0" applyNumberFormat="1" applyFont="1" applyFill="1" applyBorder="1" applyAlignment="1">
      <alignment horizontal="left" vertical="top"/>
    </xf>
    <xf numFmtId="0" fontId="42" fillId="0" borderId="5" xfId="0" applyNumberFormat="1" applyFont="1" applyFill="1" applyBorder="1" applyAlignment="1">
      <alignment horizontal="left" vertical="top"/>
    </xf>
    <xf numFmtId="10" fontId="13" fillId="14" borderId="5" xfId="2" quotePrefix="1" applyNumberFormat="1" applyFont="1" applyFill="1" applyBorder="1" applyAlignment="1">
      <alignment horizontal="left" vertical="top"/>
    </xf>
    <xf numFmtId="10" fontId="13" fillId="14" borderId="64" xfId="2" quotePrefix="1" applyNumberFormat="1" applyFont="1" applyFill="1" applyBorder="1" applyAlignment="1">
      <alignment horizontal="left" vertical="top"/>
    </xf>
    <xf numFmtId="166" fontId="13" fillId="0" borderId="0" xfId="2" applyNumberFormat="1" applyFont="1" applyFill="1" applyBorder="1" applyAlignment="1">
      <alignment horizontal="left" indent="1"/>
    </xf>
    <xf numFmtId="10" fontId="13" fillId="0" borderId="97" xfId="2" applyNumberFormat="1" applyFont="1" applyFill="1" applyBorder="1" applyAlignment="1">
      <alignment horizontal="left" indent="1"/>
    </xf>
    <xf numFmtId="166" fontId="13" fillId="0" borderId="97" xfId="2" applyNumberFormat="1" applyFont="1" applyFill="1" applyBorder="1" applyAlignment="1">
      <alignment horizontal="left" indent="1"/>
    </xf>
    <xf numFmtId="166" fontId="13" fillId="0" borderId="0" xfId="2" applyNumberFormat="1" applyFont="1" applyFill="1" applyBorder="1" applyAlignment="1">
      <alignment horizontal="left"/>
    </xf>
    <xf numFmtId="166" fontId="13" fillId="0" borderId="43" xfId="2" applyNumberFormat="1" applyFont="1" applyFill="1" applyBorder="1" applyAlignment="1">
      <alignment horizontal="left"/>
    </xf>
    <xf numFmtId="10" fontId="13" fillId="0" borderId="98" xfId="2" applyNumberFormat="1" applyFont="1" applyFill="1" applyBorder="1" applyAlignment="1">
      <alignment horizontal="left"/>
    </xf>
    <xf numFmtId="166" fontId="13" fillId="0" borderId="98" xfId="2" applyNumberFormat="1" applyFont="1" applyFill="1" applyBorder="1" applyAlignment="1">
      <alignment horizontal="left"/>
    </xf>
    <xf numFmtId="10" fontId="106" fillId="0" borderId="12" xfId="2" applyNumberFormat="1" applyFont="1" applyBorder="1" applyAlignment="1">
      <alignment horizontal="left"/>
    </xf>
    <xf numFmtId="167" fontId="35" fillId="0" borderId="0" xfId="0" applyFont="1" applyBorder="1" applyAlignment="1">
      <alignment horizontal="right"/>
    </xf>
    <xf numFmtId="1" fontId="35" fillId="0" borderId="0" xfId="0" applyNumberFormat="1" applyFont="1" applyAlignment="1">
      <alignment horizontal="left"/>
    </xf>
    <xf numFmtId="167" fontId="24" fillId="0" borderId="0" xfId="0" applyFont="1" applyBorder="1" applyAlignment="1">
      <alignment horizontal="left"/>
    </xf>
    <xf numFmtId="167" fontId="112" fillId="0" borderId="0" xfId="0" applyNumberFormat="1" applyFont="1" applyFill="1" applyAlignment="1"/>
    <xf numFmtId="167" fontId="111" fillId="0" borderId="0" xfId="0" applyNumberFormat="1" applyFont="1" applyFill="1" applyAlignment="1"/>
    <xf numFmtId="167" fontId="112" fillId="0" borderId="0" xfId="0" applyFont="1" applyBorder="1" applyAlignment="1"/>
    <xf numFmtId="167" fontId="112" fillId="0" borderId="10" xfId="0" applyFont="1" applyBorder="1" applyAlignment="1"/>
    <xf numFmtId="9" fontId="24" fillId="0" borderId="12" xfId="0" applyNumberFormat="1" applyFont="1" applyBorder="1" applyAlignment="1">
      <alignment horizontal="left"/>
    </xf>
    <xf numFmtId="9" fontId="24" fillId="0" borderId="0" xfId="2" applyFont="1" applyBorder="1" applyAlignment="1">
      <alignment horizontal="left"/>
    </xf>
    <xf numFmtId="9" fontId="24" fillId="0" borderId="0" xfId="0" applyNumberFormat="1" applyFont="1" applyBorder="1" applyAlignment="1">
      <alignment horizontal="left"/>
    </xf>
    <xf numFmtId="165" fontId="24" fillId="0" borderId="0" xfId="0" applyNumberFormat="1" applyFont="1" applyBorder="1" applyAlignment="1">
      <alignment horizontal="left"/>
    </xf>
    <xf numFmtId="9" fontId="24" fillId="0" borderId="0" xfId="2" applyFont="1" applyAlignment="1">
      <alignment horizontal="left"/>
    </xf>
    <xf numFmtId="2" fontId="24" fillId="0" borderId="43" xfId="0" applyNumberFormat="1" applyFont="1" applyBorder="1" applyAlignment="1">
      <alignment horizontal="left"/>
    </xf>
    <xf numFmtId="2" fontId="24" fillId="0" borderId="0" xfId="0" applyNumberFormat="1" applyFont="1" applyBorder="1" applyAlignment="1">
      <alignment horizontal="left"/>
    </xf>
    <xf numFmtId="10" fontId="112" fillId="0" borderId="12" xfId="0" applyNumberFormat="1" applyFont="1" applyBorder="1" applyAlignment="1">
      <alignment horizontal="left"/>
    </xf>
    <xf numFmtId="10" fontId="112" fillId="0" borderId="0" xfId="0" applyNumberFormat="1" applyFont="1" applyBorder="1" applyAlignment="1">
      <alignment horizontal="left"/>
    </xf>
    <xf numFmtId="10" fontId="112" fillId="0" borderId="43" xfId="0" applyNumberFormat="1" applyFont="1" applyBorder="1" applyAlignment="1">
      <alignment horizontal="left"/>
    </xf>
    <xf numFmtId="10" fontId="112" fillId="0" borderId="7" xfId="2" applyNumberFormat="1" applyFont="1" applyBorder="1" applyAlignment="1">
      <alignment horizontal="left" indent="1"/>
    </xf>
    <xf numFmtId="9" fontId="24" fillId="0" borderId="0" xfId="0" applyNumberFormat="1" applyFont="1" applyBorder="1" applyAlignment="1"/>
    <xf numFmtId="167" fontId="113" fillId="0" borderId="0" xfId="0" applyFont="1" applyBorder="1" applyAlignment="1"/>
    <xf numFmtId="167" fontId="24" fillId="0" borderId="7" xfId="0" applyFont="1" applyBorder="1" applyAlignment="1">
      <alignment horizontal="left" indent="1"/>
    </xf>
    <xf numFmtId="167" fontId="116" fillId="0" borderId="0" xfId="0" applyFont="1" applyFill="1" applyBorder="1" applyAlignment="1"/>
    <xf numFmtId="167" fontId="116" fillId="0" borderId="0" xfId="0" applyFont="1" applyFill="1" applyBorder="1" applyAlignment="1">
      <alignment horizontal="left"/>
    </xf>
    <xf numFmtId="167" fontId="14" fillId="0" borderId="0" xfId="0" applyFont="1" applyAlignment="1"/>
    <xf numFmtId="166" fontId="5" fillId="0" borderId="0" xfId="0" applyNumberFormat="1" applyFont="1" applyBorder="1" applyAlignment="1">
      <alignment horizontal="left"/>
    </xf>
    <xf numFmtId="166" fontId="24" fillId="0" borderId="12" xfId="0" applyNumberFormat="1" applyFont="1" applyBorder="1" applyAlignment="1">
      <alignment horizontal="left"/>
    </xf>
    <xf numFmtId="167" fontId="47" fillId="0" borderId="0" xfId="0" applyNumberFormat="1" applyFont="1" applyFill="1" applyBorder="1" applyAlignment="1"/>
    <xf numFmtId="1" fontId="24" fillId="0" borderId="7" xfId="0" applyNumberFormat="1" applyFont="1" applyFill="1" applyBorder="1" applyAlignment="1">
      <alignment horizontal="left"/>
    </xf>
    <xf numFmtId="9" fontId="13" fillId="0" borderId="10" xfId="0" applyNumberFormat="1" applyFont="1" applyFill="1" applyBorder="1" applyAlignment="1">
      <alignment horizontal="left"/>
    </xf>
    <xf numFmtId="167" fontId="5" fillId="0" borderId="10" xfId="0" applyFont="1" applyBorder="1" applyAlignment="1">
      <alignment horizontal="left"/>
    </xf>
    <xf numFmtId="167" fontId="5" fillId="0" borderId="10" xfId="0" applyFont="1" applyBorder="1" applyAlignment="1">
      <alignment horizontal="left" indent="1"/>
    </xf>
    <xf numFmtId="9" fontId="5" fillId="0" borderId="10" xfId="0" applyNumberFormat="1" applyFont="1" applyFill="1" applyBorder="1" applyAlignment="1">
      <alignment horizontal="left"/>
    </xf>
    <xf numFmtId="9" fontId="5" fillId="0" borderId="10" xfId="0" applyNumberFormat="1" applyFont="1" applyBorder="1" applyAlignment="1">
      <alignment horizontal="left"/>
    </xf>
    <xf numFmtId="167" fontId="106" fillId="12" borderId="0" xfId="0" applyNumberFormat="1" applyFont="1" applyFill="1" applyBorder="1" applyAlignment="1"/>
    <xf numFmtId="167" fontId="25" fillId="12" borderId="0" xfId="0" applyNumberFormat="1" applyFont="1" applyFill="1" applyAlignment="1"/>
    <xf numFmtId="9" fontId="13" fillId="0" borderId="12" xfId="0" applyNumberFormat="1" applyFont="1" applyFill="1" applyBorder="1" applyAlignment="1">
      <alignment horizontal="left"/>
    </xf>
    <xf numFmtId="9" fontId="13" fillId="0" borderId="12" xfId="0" applyNumberFormat="1" applyFont="1" applyBorder="1" applyAlignment="1">
      <alignment horizontal="left"/>
    </xf>
    <xf numFmtId="2" fontId="13" fillId="0" borderId="12" xfId="0" applyNumberFormat="1" applyFont="1" applyFill="1" applyBorder="1" applyAlignment="1">
      <alignment horizontal="left"/>
    </xf>
    <xf numFmtId="2" fontId="13" fillId="0" borderId="12" xfId="0" applyNumberFormat="1" applyFont="1" applyBorder="1" applyAlignment="1">
      <alignment horizontal="left"/>
    </xf>
    <xf numFmtId="2" fontId="13" fillId="0" borderId="54" xfId="0" applyNumberFormat="1" applyFont="1" applyFill="1" applyBorder="1" applyAlignment="1">
      <alignment horizontal="left"/>
    </xf>
    <xf numFmtId="2" fontId="13" fillId="0" borderId="54" xfId="0" applyNumberFormat="1" applyFont="1" applyBorder="1" applyAlignment="1">
      <alignment horizontal="left"/>
    </xf>
    <xf numFmtId="167" fontId="90" fillId="0" borderId="0" xfId="0" applyFont="1" applyBorder="1" applyAlignment="1"/>
    <xf numFmtId="166" fontId="42" fillId="0" borderId="0" xfId="0" applyNumberFormat="1" applyFont="1" applyFill="1" applyBorder="1" applyAlignment="1">
      <alignment horizontal="left"/>
    </xf>
    <xf numFmtId="9" fontId="42" fillId="0" borderId="10" xfId="0" applyNumberFormat="1" applyFont="1" applyFill="1" applyBorder="1" applyAlignment="1">
      <alignment horizontal="left"/>
    </xf>
    <xf numFmtId="166" fontId="42" fillId="0" borderId="10" xfId="0" applyNumberFormat="1" applyFont="1" applyBorder="1" applyAlignment="1">
      <alignment horizontal="left" indent="1"/>
    </xf>
    <xf numFmtId="167" fontId="112" fillId="0" borderId="12" xfId="0" applyFont="1" applyFill="1" applyBorder="1" applyAlignment="1">
      <alignment horizontal="left"/>
    </xf>
    <xf numFmtId="167" fontId="112" fillId="0" borderId="0" xfId="0" applyFont="1" applyAlignment="1"/>
    <xf numFmtId="166" fontId="24" fillId="0" borderId="7" xfId="0" applyNumberFormat="1" applyFont="1" applyBorder="1" applyAlignment="1">
      <alignment horizontal="left"/>
    </xf>
    <xf numFmtId="166" fontId="117" fillId="0" borderId="91" xfId="0" applyNumberFormat="1" applyFont="1" applyBorder="1" applyAlignment="1">
      <alignment horizontal="left"/>
    </xf>
    <xf numFmtId="167" fontId="117" fillId="0" borderId="0" xfId="0" applyNumberFormat="1" applyFont="1" applyFill="1" applyAlignment="1"/>
    <xf numFmtId="167" fontId="117" fillId="0" borderId="0" xfId="0" quotePrefix="1" applyNumberFormat="1" applyFont="1" applyFill="1" applyAlignment="1"/>
    <xf numFmtId="2" fontId="24" fillId="0" borderId="12" xfId="0" applyNumberFormat="1" applyFont="1" applyFill="1" applyBorder="1" applyAlignment="1">
      <alignment horizontal="left"/>
    </xf>
    <xf numFmtId="2" fontId="24" fillId="0" borderId="12" xfId="0" applyNumberFormat="1" applyFont="1" applyBorder="1" applyAlignment="1">
      <alignment horizontal="left"/>
    </xf>
    <xf numFmtId="167" fontId="24" fillId="0" borderId="54" xfId="0" applyFont="1" applyFill="1" applyBorder="1" applyAlignment="1"/>
    <xf numFmtId="2" fontId="24" fillId="0" borderId="54" xfId="0" applyNumberFormat="1" applyFont="1" applyFill="1" applyBorder="1" applyAlignment="1">
      <alignment horizontal="left"/>
    </xf>
    <xf numFmtId="166" fontId="24" fillId="0" borderId="54" xfId="0" applyNumberFormat="1" applyFont="1" applyFill="1" applyBorder="1" applyAlignment="1">
      <alignment horizontal="left"/>
    </xf>
    <xf numFmtId="2" fontId="24" fillId="0" borderId="54" xfId="0" applyNumberFormat="1" applyFont="1" applyBorder="1" applyAlignment="1">
      <alignment horizontal="left"/>
    </xf>
    <xf numFmtId="167" fontId="24" fillId="0" borderId="10" xfId="0" applyFont="1" applyBorder="1" applyAlignment="1"/>
    <xf numFmtId="167" fontId="24" fillId="0" borderId="10" xfId="0" applyFont="1" applyFill="1" applyBorder="1" applyAlignment="1">
      <alignment horizontal="left" indent="1"/>
    </xf>
    <xf numFmtId="0" fontId="24" fillId="0" borderId="10" xfId="0" applyNumberFormat="1" applyFont="1" applyFill="1" applyBorder="1" applyAlignment="1">
      <alignment horizontal="left" indent="1"/>
    </xf>
    <xf numFmtId="166" fontId="24" fillId="0" borderId="10" xfId="0" applyNumberFormat="1" applyFont="1" applyBorder="1" applyAlignment="1">
      <alignment horizontal="left" indent="1"/>
    </xf>
    <xf numFmtId="2" fontId="26" fillId="0" borderId="0" xfId="0" applyNumberFormat="1" applyFont="1" applyFill="1" applyBorder="1" applyAlignment="1">
      <alignment horizontal="left"/>
    </xf>
    <xf numFmtId="167" fontId="99" fillId="0" borderId="12" xfId="0" applyFont="1" applyFill="1" applyBorder="1" applyAlignment="1">
      <alignment horizontal="left"/>
    </xf>
    <xf numFmtId="166" fontId="5" fillId="0" borderId="7" xfId="0" applyNumberFormat="1" applyFont="1" applyBorder="1" applyAlignment="1">
      <alignment horizontal="left"/>
    </xf>
    <xf numFmtId="167" fontId="5" fillId="0" borderId="10" xfId="0" applyFont="1" applyBorder="1" applyAlignment="1"/>
    <xf numFmtId="166" fontId="5" fillId="0" borderId="10" xfId="0" applyNumberFormat="1" applyFont="1" applyBorder="1" applyAlignment="1">
      <alignment horizontal="left" indent="1"/>
    </xf>
    <xf numFmtId="0" fontId="24" fillId="0" borderId="0" xfId="0" applyNumberFormat="1" applyFont="1" applyFill="1" applyAlignment="1"/>
    <xf numFmtId="167" fontId="35" fillId="0" borderId="0" xfId="0" applyFont="1" applyFill="1" applyBorder="1" applyAlignment="1"/>
    <xf numFmtId="10" fontId="35" fillId="0" borderId="0" xfId="0" applyNumberFormat="1" applyFont="1" applyFill="1" applyBorder="1" applyAlignment="1"/>
    <xf numFmtId="10" fontId="35" fillId="0" borderId="0" xfId="0" applyNumberFormat="1" applyFont="1" applyFill="1" applyBorder="1" applyAlignment="1">
      <alignment horizontal="left"/>
    </xf>
    <xf numFmtId="9" fontId="25" fillId="0" borderId="0" xfId="2" applyFont="1" applyFill="1" applyBorder="1" applyAlignment="1">
      <alignment horizontal="left"/>
    </xf>
    <xf numFmtId="9" fontId="0" fillId="0" borderId="0" xfId="2" applyFont="1" applyFill="1" applyBorder="1" applyAlignment="1">
      <alignment horizontal="left"/>
    </xf>
    <xf numFmtId="10" fontId="25" fillId="0" borderId="0" xfId="2" applyNumberFormat="1" applyFont="1" applyFill="1" applyBorder="1" applyAlignment="1">
      <alignment horizontal="left"/>
    </xf>
    <xf numFmtId="1" fontId="35" fillId="0" borderId="0" xfId="0" applyNumberFormat="1" applyFont="1" applyFill="1" applyBorder="1" applyAlignment="1">
      <alignment horizontal="left"/>
    </xf>
    <xf numFmtId="166" fontId="25" fillId="0" borderId="0" xfId="2" applyNumberFormat="1" applyFont="1" applyFill="1" applyBorder="1" applyAlignment="1">
      <alignment horizontal="left"/>
    </xf>
    <xf numFmtId="167" fontId="25" fillId="0" borderId="0" xfId="0" applyFont="1" applyFill="1" applyBorder="1" applyAlignment="1">
      <alignment horizontal="left" indent="1"/>
    </xf>
    <xf numFmtId="10" fontId="13" fillId="0" borderId="0" xfId="2" applyNumberFormat="1" applyFont="1" applyFill="1" applyBorder="1" applyAlignment="1">
      <alignment horizontal="left" indent="1"/>
    </xf>
    <xf numFmtId="0" fontId="13" fillId="0" borderId="0" xfId="0" applyNumberFormat="1" applyFont="1" applyFill="1" applyBorder="1" applyAlignment="1"/>
    <xf numFmtId="0" fontId="14" fillId="0" borderId="0" xfId="0" applyNumberFormat="1" applyFont="1" applyFill="1" applyAlignment="1"/>
    <xf numFmtId="167" fontId="24" fillId="0" borderId="0" xfId="0" applyFont="1" applyAlignment="1">
      <alignment horizontal="center"/>
    </xf>
    <xf numFmtId="10" fontId="24" fillId="0" borderId="10" xfId="0" applyNumberFormat="1" applyFont="1" applyFill="1" applyBorder="1" applyAlignment="1">
      <alignment horizontal="left" indent="1"/>
    </xf>
    <xf numFmtId="167" fontId="42" fillId="0" borderId="10" xfId="0" applyFont="1" applyBorder="1" applyAlignment="1">
      <alignment horizontal="left"/>
    </xf>
    <xf numFmtId="167" fontId="42" fillId="0" borderId="10" xfId="0" applyFont="1" applyBorder="1" applyAlignment="1">
      <alignment horizontal="left" indent="1"/>
    </xf>
    <xf numFmtId="9" fontId="42" fillId="0" borderId="10" xfId="0" applyNumberFormat="1" applyFont="1" applyBorder="1" applyAlignment="1">
      <alignment horizontal="left"/>
    </xf>
    <xf numFmtId="167" fontId="99" fillId="0" borderId="0" xfId="0" applyFont="1" applyFill="1" applyBorder="1" applyAlignment="1"/>
    <xf numFmtId="167" fontId="5" fillId="0" borderId="12" xfId="0" applyFont="1" applyBorder="1" applyAlignment="1">
      <alignment horizontal="left"/>
    </xf>
    <xf numFmtId="166" fontId="5" fillId="0" borderId="10" xfId="0" applyNumberFormat="1" applyFont="1" applyBorder="1" applyAlignment="1">
      <alignment horizontal="left"/>
    </xf>
    <xf numFmtId="166" fontId="5" fillId="0" borderId="10" xfId="0" applyNumberFormat="1" applyFont="1" applyFill="1" applyBorder="1" applyAlignment="1"/>
    <xf numFmtId="167" fontId="5" fillId="0" borderId="10" xfId="0" applyNumberFormat="1" applyFont="1" applyFill="1" applyBorder="1" applyAlignment="1">
      <alignment horizontal="left" indent="1"/>
    </xf>
    <xf numFmtId="10" fontId="5" fillId="0" borderId="10" xfId="0" applyNumberFormat="1" applyFont="1" applyFill="1" applyBorder="1" applyAlignment="1">
      <alignment horizontal="left" indent="1"/>
    </xf>
    <xf numFmtId="10" fontId="42" fillId="0" borderId="10" xfId="0" applyNumberFormat="1" applyFont="1" applyFill="1" applyBorder="1" applyAlignment="1">
      <alignment horizontal="left" indent="1"/>
    </xf>
    <xf numFmtId="10" fontId="42" fillId="0" borderId="10" xfId="0" applyNumberFormat="1" applyFont="1" applyBorder="1" applyAlignment="1">
      <alignment horizontal="left" indent="1"/>
    </xf>
    <xf numFmtId="167" fontId="99" fillId="0" borderId="0" xfId="0" applyNumberFormat="1" applyFont="1" applyFill="1" applyAlignment="1"/>
    <xf numFmtId="166" fontId="24" fillId="0" borderId="43" xfId="0" applyNumberFormat="1" applyFont="1" applyFill="1" applyBorder="1" applyAlignment="1">
      <alignment horizontal="left"/>
    </xf>
    <xf numFmtId="167" fontId="114" fillId="0" borderId="0" xfId="0" applyFont="1" applyFill="1" applyBorder="1" applyAlignment="1">
      <alignment horizontal="left"/>
    </xf>
    <xf numFmtId="9" fontId="47" fillId="0" borderId="0" xfId="2" applyFont="1" applyFill="1" applyBorder="1" applyAlignment="1">
      <alignment horizontal="left"/>
    </xf>
    <xf numFmtId="165" fontId="47" fillId="0" borderId="0" xfId="2" applyNumberFormat="1" applyFont="1" applyFill="1" applyBorder="1" applyAlignment="1">
      <alignment horizontal="left"/>
    </xf>
    <xf numFmtId="166" fontId="47" fillId="0" borderId="0" xfId="2" applyNumberFormat="1" applyFont="1" applyFill="1" applyBorder="1" applyAlignment="1">
      <alignment horizontal="left"/>
    </xf>
    <xf numFmtId="167" fontId="5" fillId="0" borderId="0" xfId="0" applyFont="1" applyAlignment="1">
      <alignment horizontal="center"/>
    </xf>
    <xf numFmtId="167" fontId="99" fillId="0" borderId="0" xfId="0" applyNumberFormat="1" applyFont="1" applyFill="1" applyBorder="1" applyAlignment="1"/>
    <xf numFmtId="167" fontId="5" fillId="0" borderId="56" xfId="0" applyFont="1" applyFill="1" applyBorder="1" applyAlignment="1">
      <alignment horizontal="left" indent="1"/>
    </xf>
    <xf numFmtId="10" fontId="5" fillId="0" borderId="56" xfId="0" applyNumberFormat="1" applyFont="1" applyFill="1" applyBorder="1" applyAlignment="1">
      <alignment horizontal="left" indent="1"/>
    </xf>
    <xf numFmtId="166" fontId="5" fillId="0" borderId="56" xfId="0" applyNumberFormat="1" applyFont="1" applyBorder="1" applyAlignment="1">
      <alignment horizontal="left" indent="1"/>
    </xf>
    <xf numFmtId="167" fontId="99" fillId="0" borderId="10" xfId="0" applyFont="1" applyBorder="1" applyAlignment="1"/>
    <xf numFmtId="166" fontId="42" fillId="0" borderId="10" xfId="0" applyNumberFormat="1" applyFont="1" applyFill="1" applyBorder="1" applyAlignment="1">
      <alignment horizontal="left" indent="1"/>
    </xf>
    <xf numFmtId="166" fontId="5" fillId="0" borderId="10" xfId="0" applyNumberFormat="1" applyFont="1" applyFill="1" applyBorder="1" applyAlignment="1">
      <alignment horizontal="left" indent="1"/>
    </xf>
    <xf numFmtId="166" fontId="117" fillId="0" borderId="12" xfId="0" applyNumberFormat="1" applyFont="1" applyBorder="1" applyAlignment="1">
      <alignment horizontal="left"/>
    </xf>
    <xf numFmtId="167" fontId="13" fillId="0" borderId="7" xfId="0" applyFont="1" applyFill="1" applyBorder="1" applyAlignment="1">
      <alignment horizontal="left"/>
    </xf>
    <xf numFmtId="9" fontId="65" fillId="9" borderId="0" xfId="0" applyNumberFormat="1" applyFont="1" applyFill="1" applyAlignment="1">
      <alignment horizontal="left"/>
    </xf>
    <xf numFmtId="0" fontId="64" fillId="9" borderId="7" xfId="0" applyNumberFormat="1" applyFont="1" applyFill="1" applyBorder="1" applyAlignment="1"/>
    <xf numFmtId="0" fontId="65" fillId="9" borderId="7" xfId="0" applyNumberFormat="1" applyFont="1" applyFill="1" applyBorder="1" applyAlignment="1"/>
    <xf numFmtId="0" fontId="65" fillId="9" borderId="7" xfId="0" applyNumberFormat="1" applyFont="1" applyFill="1" applyBorder="1" applyAlignment="1">
      <alignment horizontal="left"/>
    </xf>
    <xf numFmtId="9" fontId="65" fillId="9" borderId="56" xfId="0" quotePrefix="1" applyNumberFormat="1" applyFont="1" applyFill="1" applyBorder="1" applyAlignment="1">
      <alignment horizontal="left"/>
    </xf>
    <xf numFmtId="0" fontId="65" fillId="9" borderId="0" xfId="0" applyNumberFormat="1" applyFont="1" applyFill="1" applyAlignment="1">
      <alignment horizontal="right" indent="1"/>
    </xf>
    <xf numFmtId="166" fontId="24" fillId="0" borderId="10" xfId="0" applyNumberFormat="1" applyFont="1" applyFill="1" applyBorder="1" applyAlignment="1">
      <alignment horizontal="left" indent="1"/>
    </xf>
    <xf numFmtId="0" fontId="24" fillId="0" borderId="62" xfId="0" applyNumberFormat="1" applyFont="1" applyFill="1" applyBorder="1" applyAlignment="1">
      <alignment horizontal="left"/>
    </xf>
    <xf numFmtId="10" fontId="24" fillId="0" borderId="62" xfId="0" applyNumberFormat="1" applyFont="1" applyFill="1" applyBorder="1" applyAlignment="1">
      <alignment horizontal="left"/>
    </xf>
    <xf numFmtId="166" fontId="24" fillId="0" borderId="62" xfId="0" applyNumberFormat="1" applyFont="1" applyFill="1" applyBorder="1" applyAlignment="1">
      <alignment horizontal="left"/>
    </xf>
    <xf numFmtId="167" fontId="24" fillId="0" borderId="0" xfId="0" applyFont="1" applyFill="1" applyAlignment="1">
      <alignment horizontal="left"/>
    </xf>
    <xf numFmtId="166" fontId="24" fillId="0" borderId="0" xfId="0" applyNumberFormat="1" applyFont="1" applyFill="1" applyAlignment="1">
      <alignment horizontal="left"/>
    </xf>
    <xf numFmtId="0" fontId="13" fillId="0" borderId="12" xfId="0" applyNumberFormat="1" applyFont="1" applyFill="1" applyBorder="1" applyAlignment="1">
      <alignment horizontal="left"/>
    </xf>
    <xf numFmtId="166" fontId="0" fillId="0" borderId="12" xfId="2" applyNumberFormat="1" applyFont="1" applyFill="1" applyBorder="1" applyAlignment="1">
      <alignment horizontal="left"/>
    </xf>
    <xf numFmtId="166" fontId="14" fillId="0" borderId="12" xfId="2" applyNumberFormat="1" applyFont="1" applyFill="1" applyBorder="1" applyAlignment="1">
      <alignment horizontal="left"/>
    </xf>
    <xf numFmtId="0" fontId="24" fillId="0" borderId="56" xfId="0" applyNumberFormat="1" applyFont="1" applyFill="1" applyBorder="1" applyAlignment="1">
      <alignment horizontal="left"/>
    </xf>
    <xf numFmtId="166" fontId="24" fillId="0" borderId="56" xfId="2" applyNumberFormat="1" applyFont="1" applyFill="1" applyBorder="1" applyAlignment="1">
      <alignment horizontal="left"/>
    </xf>
    <xf numFmtId="166" fontId="112" fillId="0" borderId="56" xfId="2" applyNumberFormat="1" applyFont="1" applyFill="1" applyBorder="1" applyAlignment="1">
      <alignment horizontal="left"/>
    </xf>
    <xf numFmtId="0" fontId="13" fillId="0" borderId="7" xfId="0" applyNumberFormat="1" applyFont="1" applyFill="1" applyBorder="1" applyAlignment="1">
      <alignment horizontal="left" indent="1"/>
    </xf>
    <xf numFmtId="166" fontId="24" fillId="0" borderId="56" xfId="0" applyNumberFormat="1" applyFont="1" applyFill="1" applyBorder="1" applyAlignment="1">
      <alignment horizontal="left"/>
    </xf>
    <xf numFmtId="166" fontId="112" fillId="0" borderId="56" xfId="0" applyNumberFormat="1" applyFont="1" applyFill="1" applyBorder="1" applyAlignment="1">
      <alignment horizontal="left"/>
    </xf>
    <xf numFmtId="167" fontId="120" fillId="0" borderId="0" xfId="0" applyFont="1" applyFill="1" applyAlignment="1"/>
    <xf numFmtId="9" fontId="47" fillId="0" borderId="10" xfId="0" applyNumberFormat="1" applyFont="1" applyBorder="1" applyAlignment="1">
      <alignment horizontal="left" indent="1"/>
    </xf>
    <xf numFmtId="9" fontId="47" fillId="0" borderId="0" xfId="0" applyNumberFormat="1" applyFont="1" applyBorder="1" applyAlignment="1">
      <alignment horizontal="left" indent="1"/>
    </xf>
    <xf numFmtId="0" fontId="65" fillId="9" borderId="0" xfId="0" quotePrefix="1" applyNumberFormat="1" applyFont="1" applyFill="1" applyAlignment="1"/>
    <xf numFmtId="167" fontId="107" fillId="9" borderId="0" xfId="0" quotePrefix="1" applyFont="1" applyFill="1" applyAlignment="1"/>
    <xf numFmtId="167" fontId="13" fillId="0" borderId="0" xfId="0" quotePrefix="1" applyFont="1" applyFill="1"/>
    <xf numFmtId="167" fontId="47" fillId="0" borderId="4" xfId="0" quotePrefix="1" applyFont="1" applyFill="1" applyBorder="1" applyAlignment="1">
      <alignment horizontal="left" vertical="top"/>
    </xf>
    <xf numFmtId="167" fontId="47" fillId="0" borderId="0" xfId="0" quotePrefix="1" applyFont="1" applyFill="1" applyBorder="1" applyAlignment="1">
      <alignment horizontal="left" vertical="top"/>
    </xf>
    <xf numFmtId="167" fontId="0" fillId="9" borderId="0" xfId="0" applyFill="1"/>
    <xf numFmtId="166" fontId="119" fillId="0" borderId="10" xfId="0" applyNumberFormat="1" applyFont="1" applyFill="1" applyBorder="1" applyAlignment="1">
      <alignment horizontal="left"/>
    </xf>
    <xf numFmtId="0" fontId="14" fillId="12" borderId="0" xfId="2" applyNumberFormat="1" applyFont="1" applyFill="1" applyBorder="1" applyAlignment="1">
      <alignment horizontal="left"/>
    </xf>
    <xf numFmtId="167" fontId="14" fillId="0" borderId="7" xfId="0" applyFont="1" applyBorder="1" applyAlignment="1"/>
    <xf numFmtId="9" fontId="13" fillId="0" borderId="0" xfId="2" applyFont="1" applyBorder="1" applyAlignment="1">
      <alignment horizontal="left"/>
    </xf>
    <xf numFmtId="9" fontId="13" fillId="0" borderId="0" xfId="0" applyNumberFormat="1" applyFont="1" applyBorder="1" applyAlignment="1"/>
    <xf numFmtId="2" fontId="0" fillId="0" borderId="0" xfId="0" applyNumberFormat="1" applyFill="1" applyAlignment="1">
      <alignment horizontal="left"/>
    </xf>
    <xf numFmtId="0" fontId="14" fillId="0" borderId="0" xfId="0" applyNumberFormat="1" applyFont="1" applyFill="1" applyBorder="1" applyAlignment="1"/>
    <xf numFmtId="167" fontId="13" fillId="0" borderId="43" xfId="0" applyFont="1" applyFill="1" applyBorder="1" applyAlignment="1"/>
    <xf numFmtId="165" fontId="13" fillId="0" borderId="43" xfId="0" applyNumberFormat="1" applyFont="1" applyBorder="1" applyAlignment="1">
      <alignment horizontal="left"/>
    </xf>
    <xf numFmtId="9" fontId="13" fillId="0" borderId="45" xfId="2" applyFont="1" applyBorder="1" applyAlignment="1">
      <alignment horizontal="left"/>
    </xf>
    <xf numFmtId="9" fontId="0" fillId="0" borderId="45" xfId="0" applyNumberFormat="1" applyFill="1" applyBorder="1" applyAlignment="1">
      <alignment horizontal="left"/>
    </xf>
    <xf numFmtId="2" fontId="13" fillId="0" borderId="7" xfId="0" applyNumberFormat="1" applyFont="1" applyBorder="1" applyAlignment="1">
      <alignment horizontal="left"/>
    </xf>
    <xf numFmtId="2" fontId="0" fillId="0" borderId="7" xfId="0" applyNumberFormat="1" applyFill="1" applyBorder="1" applyAlignment="1">
      <alignment horizontal="left"/>
    </xf>
    <xf numFmtId="10" fontId="14" fillId="9" borderId="7" xfId="2" applyNumberFormat="1" applyFont="1" applyFill="1" applyBorder="1" applyAlignment="1">
      <alignment horizontal="left" indent="1"/>
    </xf>
    <xf numFmtId="10" fontId="14" fillId="9" borderId="89" xfId="2" applyNumberFormat="1" applyFont="1" applyFill="1" applyBorder="1" applyAlignment="1">
      <alignment horizontal="left" indent="1"/>
    </xf>
    <xf numFmtId="166" fontId="14" fillId="9" borderId="89" xfId="2" applyNumberFormat="1" applyFont="1" applyFill="1" applyBorder="1" applyAlignment="1">
      <alignment horizontal="left" indent="1"/>
    </xf>
    <xf numFmtId="10" fontId="14" fillId="0" borderId="12" xfId="2" applyNumberFormat="1" applyFont="1" applyFill="1" applyBorder="1" applyAlignment="1">
      <alignment horizontal="left"/>
    </xf>
    <xf numFmtId="10" fontId="14" fillId="0" borderId="90" xfId="2" applyNumberFormat="1" applyFont="1" applyFill="1" applyBorder="1" applyAlignment="1">
      <alignment horizontal="left"/>
    </xf>
    <xf numFmtId="166" fontId="14" fillId="0" borderId="90" xfId="2" applyNumberFormat="1" applyFont="1" applyFill="1" applyBorder="1" applyAlignment="1">
      <alignment horizontal="left"/>
    </xf>
    <xf numFmtId="0" fontId="13" fillId="12" borderId="0" xfId="0" applyNumberFormat="1" applyFont="1" applyFill="1" applyAlignment="1">
      <alignment wrapText="1"/>
    </xf>
    <xf numFmtId="2" fontId="47" fillId="0" borderId="4" xfId="0" applyNumberFormat="1" applyFont="1" applyFill="1" applyBorder="1" applyAlignment="1">
      <alignment horizontal="left" vertical="top"/>
    </xf>
    <xf numFmtId="2" fontId="47" fillId="0" borderId="0" xfId="0" applyNumberFormat="1" applyFont="1" applyFill="1" applyBorder="1" applyAlignment="1">
      <alignment horizontal="left" vertical="top"/>
    </xf>
    <xf numFmtId="0" fontId="99" fillId="0" borderId="0" xfId="0" applyNumberFormat="1" applyFont="1" applyAlignment="1">
      <alignment horizontal="left"/>
    </xf>
    <xf numFmtId="0" fontId="99" fillId="0" borderId="0" xfId="0" applyNumberFormat="1" applyFont="1" applyFill="1" applyBorder="1" applyAlignment="1">
      <alignment horizontal="left"/>
    </xf>
    <xf numFmtId="0" fontId="4" fillId="0" borderId="0" xfId="0" applyNumberFormat="1" applyFont="1" applyFill="1" applyBorder="1" applyAlignment="1">
      <alignment horizontal="left"/>
    </xf>
    <xf numFmtId="9" fontId="13" fillId="0" borderId="2" xfId="0" applyNumberFormat="1" applyFont="1" applyBorder="1" applyAlignment="1">
      <alignment horizontal="left"/>
    </xf>
    <xf numFmtId="0" fontId="13" fillId="0" borderId="2" xfId="0" applyNumberFormat="1" applyFont="1" applyBorder="1" applyAlignment="1">
      <alignment horizontal="left"/>
    </xf>
    <xf numFmtId="167" fontId="14" fillId="18" borderId="0" xfId="0" applyFont="1" applyFill="1" applyAlignment="1"/>
    <xf numFmtId="2" fontId="13" fillId="0" borderId="99" xfId="0" applyNumberFormat="1" applyFont="1" applyFill="1" applyBorder="1" applyAlignment="1">
      <alignment horizontal="left"/>
    </xf>
    <xf numFmtId="0" fontId="13" fillId="0" borderId="9" xfId="0" applyNumberFormat="1" applyFont="1" applyBorder="1"/>
    <xf numFmtId="0" fontId="4" fillId="0" borderId="9" xfId="0" applyNumberFormat="1" applyFont="1" applyBorder="1"/>
    <xf numFmtId="2" fontId="13" fillId="0" borderId="15" xfId="0" applyNumberFormat="1" applyFont="1" applyFill="1" applyBorder="1" applyAlignment="1">
      <alignment horizontal="left"/>
    </xf>
    <xf numFmtId="9" fontId="13" fillId="0" borderId="25" xfId="0" applyNumberFormat="1" applyFont="1" applyBorder="1" applyAlignment="1">
      <alignment horizontal="left"/>
    </xf>
    <xf numFmtId="0" fontId="13" fillId="0" borderId="0" xfId="0" applyNumberFormat="1" applyFont="1" applyFill="1" applyAlignment="1">
      <alignment wrapText="1"/>
    </xf>
    <xf numFmtId="0" fontId="3" fillId="0" borderId="0" xfId="0" applyNumberFormat="1" applyFont="1" applyFill="1"/>
    <xf numFmtId="0" fontId="3" fillId="0" borderId="9" xfId="0" applyNumberFormat="1" applyFont="1" applyFill="1" applyBorder="1" applyAlignment="1">
      <alignment horizontal="left"/>
    </xf>
    <xf numFmtId="10" fontId="4" fillId="0" borderId="2" xfId="0" applyNumberFormat="1" applyFont="1" applyBorder="1"/>
    <xf numFmtId="0" fontId="3" fillId="0" borderId="100" xfId="0" applyNumberFormat="1" applyFont="1" applyFill="1" applyBorder="1"/>
    <xf numFmtId="10" fontId="4" fillId="0" borderId="25" xfId="0" applyNumberFormat="1" applyFont="1" applyBorder="1"/>
    <xf numFmtId="0" fontId="3" fillId="0" borderId="101" xfId="0" applyNumberFormat="1" applyFont="1" applyFill="1" applyBorder="1"/>
    <xf numFmtId="166" fontId="3" fillId="0" borderId="26" xfId="0" applyNumberFormat="1" applyFont="1" applyFill="1" applyBorder="1" applyAlignment="1">
      <alignment horizontal="left"/>
    </xf>
    <xf numFmtId="166" fontId="3" fillId="0" borderId="102" xfId="0" applyNumberFormat="1" applyFont="1" applyFill="1" applyBorder="1" applyAlignment="1">
      <alignment horizontal="left"/>
    </xf>
    <xf numFmtId="10" fontId="3" fillId="0" borderId="103" xfId="0" applyNumberFormat="1" applyFont="1" applyFill="1" applyBorder="1" applyAlignment="1">
      <alignment horizontal="left"/>
    </xf>
    <xf numFmtId="10" fontId="3" fillId="0" borderId="101" xfId="0" applyNumberFormat="1" applyFont="1" applyFill="1" applyBorder="1" applyAlignment="1">
      <alignment horizontal="left"/>
    </xf>
    <xf numFmtId="0" fontId="0" fillId="17" borderId="0" xfId="0" applyNumberFormat="1" applyFill="1" applyBorder="1" applyAlignment="1">
      <alignment horizontal="left" vertical="top"/>
    </xf>
    <xf numFmtId="0" fontId="0" fillId="12" borderId="0" xfId="0" applyNumberFormat="1" applyFill="1" applyBorder="1" applyAlignment="1">
      <alignment horizontal="left" vertical="top"/>
    </xf>
    <xf numFmtId="166" fontId="36" fillId="19" borderId="0" xfId="0" applyNumberFormat="1" applyFont="1" applyFill="1" applyBorder="1" applyAlignment="1">
      <alignment horizontal="left" vertical="top"/>
    </xf>
    <xf numFmtId="166" fontId="0" fillId="12" borderId="0" xfId="0" applyNumberFormat="1" applyFill="1" applyBorder="1" applyAlignment="1">
      <alignment horizontal="left" vertical="top"/>
    </xf>
    <xf numFmtId="166" fontId="36" fillId="12" borderId="0" xfId="0" applyNumberFormat="1" applyFont="1" applyFill="1" applyBorder="1" applyAlignment="1">
      <alignment horizontal="left" vertical="top"/>
    </xf>
    <xf numFmtId="166" fontId="36" fillId="0" borderId="0" xfId="0" applyNumberFormat="1" applyFont="1" applyFill="1" applyBorder="1" applyAlignment="1">
      <alignment horizontal="left" vertical="top"/>
    </xf>
    <xf numFmtId="0" fontId="36" fillId="0" borderId="0" xfId="0" applyNumberFormat="1" applyFont="1" applyFill="1" applyBorder="1" applyAlignment="1">
      <alignment horizontal="left" vertical="top"/>
    </xf>
    <xf numFmtId="9" fontId="36" fillId="12" borderId="0" xfId="0" applyNumberFormat="1" applyFont="1" applyFill="1" applyBorder="1" applyAlignment="1">
      <alignment horizontal="left" vertical="top"/>
    </xf>
    <xf numFmtId="167" fontId="36" fillId="0" borderId="0" xfId="0" applyFont="1" applyFill="1" applyBorder="1" applyAlignment="1">
      <alignment horizontal="left" vertical="top"/>
    </xf>
    <xf numFmtId="167" fontId="122" fillId="0" borderId="0" xfId="0" applyFont="1" applyFill="1" applyBorder="1" applyAlignment="1">
      <alignment horizontal="left" vertical="top"/>
    </xf>
    <xf numFmtId="0" fontId="122" fillId="0" borderId="0" xfId="0" applyNumberFormat="1" applyFont="1" applyFill="1" applyBorder="1" applyAlignment="1">
      <alignment horizontal="left" vertical="top"/>
    </xf>
    <xf numFmtId="9" fontId="122" fillId="19" borderId="0" xfId="0" applyNumberFormat="1" applyFont="1" applyFill="1" applyBorder="1" applyAlignment="1">
      <alignment horizontal="left" vertical="top"/>
    </xf>
    <xf numFmtId="17" fontId="92" fillId="0" borderId="0" xfId="0" applyNumberFormat="1" applyFont="1" applyFill="1" applyBorder="1" applyAlignment="1">
      <alignment horizontal="right" vertical="top"/>
    </xf>
    <xf numFmtId="17" fontId="52" fillId="0" borderId="0" xfId="0" applyNumberFormat="1" applyFont="1" applyFill="1" applyBorder="1" applyAlignment="1">
      <alignment horizontal="left" vertical="top"/>
    </xf>
    <xf numFmtId="9" fontId="122" fillId="0" borderId="0" xfId="0" applyNumberFormat="1" applyFont="1" applyFill="1" applyBorder="1" applyAlignment="1">
      <alignment horizontal="left" vertical="top"/>
    </xf>
    <xf numFmtId="2" fontId="36" fillId="0" borderId="0" xfId="0" applyNumberFormat="1" applyFont="1" applyFill="1" applyBorder="1" applyAlignment="1">
      <alignment horizontal="left" vertical="top"/>
    </xf>
    <xf numFmtId="167" fontId="13" fillId="20" borderId="0" xfId="0" applyFont="1" applyFill="1" applyAlignment="1"/>
    <xf numFmtId="167" fontId="14" fillId="20" borderId="0" xfId="0" applyFont="1" applyFill="1" applyAlignment="1"/>
    <xf numFmtId="167" fontId="0" fillId="20" borderId="0" xfId="0" applyFill="1" applyAlignment="1"/>
    <xf numFmtId="167" fontId="0" fillId="20" borderId="0" xfId="0" applyFill="1"/>
    <xf numFmtId="10" fontId="13" fillId="0" borderId="0" xfId="2" applyNumberFormat="1" applyFont="1" applyFill="1" applyAlignment="1">
      <alignment horizontal="left"/>
    </xf>
    <xf numFmtId="2" fontId="47" fillId="0" borderId="12" xfId="0" applyNumberFormat="1" applyFont="1" applyFill="1" applyBorder="1" applyAlignment="1">
      <alignment horizontal="left" vertical="top"/>
    </xf>
    <xf numFmtId="167" fontId="2" fillId="0" borderId="10" xfId="0" applyFont="1" applyBorder="1" applyAlignment="1">
      <alignment horizontal="left"/>
    </xf>
    <xf numFmtId="0" fontId="46" fillId="0" borderId="0" xfId="0" applyNumberFormat="1" applyFont="1" applyBorder="1" applyAlignment="1">
      <alignment vertical="top"/>
    </xf>
    <xf numFmtId="0" fontId="13" fillId="0" borderId="50" xfId="0" applyNumberFormat="1" applyFont="1" applyBorder="1" applyAlignment="1">
      <alignment horizontal="left" vertical="top"/>
    </xf>
    <xf numFmtId="0" fontId="42" fillId="0" borderId="0" xfId="0" applyNumberFormat="1" applyFont="1" applyBorder="1" applyAlignment="1">
      <alignment vertical="top"/>
    </xf>
    <xf numFmtId="167" fontId="0" fillId="12" borderId="0" xfId="0" applyFill="1" applyBorder="1" applyAlignment="1">
      <alignment horizontal="left"/>
    </xf>
    <xf numFmtId="0" fontId="13" fillId="0" borderId="0" xfId="0" quotePrefix="1" applyNumberFormat="1" applyFont="1" applyFill="1" applyAlignment="1">
      <alignment wrapText="1"/>
    </xf>
    <xf numFmtId="167" fontId="109" fillId="18" borderId="0" xfId="0" applyFont="1" applyFill="1"/>
    <xf numFmtId="0" fontId="65" fillId="9" borderId="0" xfId="0" applyNumberFormat="1" applyFont="1" applyFill="1" applyAlignment="1">
      <alignment wrapText="1"/>
    </xf>
    <xf numFmtId="167" fontId="13" fillId="0" borderId="12" xfId="0" applyFont="1" applyFill="1" applyBorder="1" applyAlignment="1">
      <alignment wrapText="1"/>
    </xf>
    <xf numFmtId="167" fontId="13" fillId="0" borderId="0" xfId="0" applyFont="1" applyFill="1" applyBorder="1" applyAlignment="1">
      <alignment wrapText="1"/>
    </xf>
    <xf numFmtId="167" fontId="62" fillId="2" borderId="0" xfId="0" applyFont="1" applyFill="1"/>
    <xf numFmtId="0" fontId="13" fillId="0" borderId="0" xfId="0" applyNumberFormat="1" applyFont="1" applyFill="1" applyAlignment="1">
      <alignment wrapText="1"/>
    </xf>
    <xf numFmtId="167" fontId="13" fillId="0" borderId="0" xfId="0" applyFont="1" applyFill="1" applyAlignment="1">
      <alignment horizontal="left" wrapText="1"/>
    </xf>
    <xf numFmtId="167" fontId="27" fillId="0" borderId="86" xfId="0" applyFont="1" applyBorder="1" applyAlignment="1">
      <alignment horizontal="center" vertical="top"/>
    </xf>
    <xf numFmtId="167" fontId="27" fillId="0" borderId="87" xfId="0" applyFont="1" applyBorder="1" applyAlignment="1">
      <alignment horizontal="center" vertical="top"/>
    </xf>
    <xf numFmtId="167" fontId="47" fillId="0" borderId="78" xfId="0" applyFont="1" applyFill="1" applyBorder="1" applyAlignment="1">
      <alignment horizontal="center" vertical="top"/>
    </xf>
    <xf numFmtId="167" fontId="47" fillId="0" borderId="79" xfId="0" applyFont="1" applyFill="1" applyBorder="1" applyAlignment="1">
      <alignment horizontal="center" vertical="top"/>
    </xf>
    <xf numFmtId="167" fontId="47" fillId="0" borderId="80" xfId="0" applyFont="1" applyFill="1" applyBorder="1" applyAlignment="1">
      <alignment horizontal="center" vertical="top"/>
    </xf>
    <xf numFmtId="167" fontId="13" fillId="0" borderId="50" xfId="0" applyFont="1" applyBorder="1" applyAlignment="1">
      <alignment vertical="top" wrapText="1"/>
    </xf>
    <xf numFmtId="167" fontId="13" fillId="0" borderId="0" xfId="0" applyFont="1" applyBorder="1" applyAlignment="1">
      <alignment vertical="top" wrapText="1"/>
    </xf>
    <xf numFmtId="167" fontId="13" fillId="0" borderId="51" xfId="0" applyFont="1" applyBorder="1" applyAlignment="1">
      <alignment vertical="top" wrapText="1"/>
    </xf>
    <xf numFmtId="167" fontId="13" fillId="0" borderId="52" xfId="0" applyFont="1" applyBorder="1" applyAlignment="1">
      <alignment vertical="top" wrapText="1"/>
    </xf>
    <xf numFmtId="167" fontId="13" fillId="0" borderId="45" xfId="0" applyFont="1" applyBorder="1" applyAlignment="1">
      <alignment vertical="top" wrapText="1"/>
    </xf>
    <xf numFmtId="167" fontId="13" fillId="0" borderId="53" xfId="0" applyFont="1" applyBorder="1" applyAlignment="1">
      <alignment vertical="top" wrapText="1"/>
    </xf>
    <xf numFmtId="167" fontId="13" fillId="0" borderId="50" xfId="0" quotePrefix="1" applyFont="1" applyBorder="1" applyAlignment="1">
      <alignment vertical="top" wrapText="1"/>
    </xf>
    <xf numFmtId="167" fontId="13" fillId="0" borderId="0" xfId="0" quotePrefix="1" applyFont="1" applyBorder="1" applyAlignment="1">
      <alignment vertical="top" wrapText="1"/>
    </xf>
    <xf numFmtId="167" fontId="13" fillId="0" borderId="51" xfId="0" quotePrefix="1" applyFont="1" applyBorder="1" applyAlignment="1">
      <alignment vertical="top" wrapText="1"/>
    </xf>
    <xf numFmtId="167" fontId="13" fillId="9" borderId="9" xfId="0" applyFont="1" applyFill="1" applyBorder="1" applyAlignment="1">
      <alignment horizontal="left" vertical="top"/>
    </xf>
    <xf numFmtId="167" fontId="13" fillId="9" borderId="10" xfId="0" applyFont="1" applyFill="1" applyBorder="1" applyAlignment="1">
      <alignment horizontal="left" vertical="top"/>
    </xf>
    <xf numFmtId="167" fontId="42" fillId="0" borderId="13" xfId="0" applyFont="1" applyFill="1" applyBorder="1" applyAlignment="1">
      <alignment horizontal="left" vertical="top" wrapText="1"/>
    </xf>
    <xf numFmtId="167" fontId="42" fillId="0" borderId="12" xfId="0" applyFont="1" applyFill="1" applyBorder="1" applyAlignment="1">
      <alignment horizontal="left" vertical="top" wrapText="1"/>
    </xf>
    <xf numFmtId="167" fontId="42" fillId="0" borderId="4" xfId="0" applyFont="1" applyFill="1" applyBorder="1" applyAlignment="1">
      <alignment horizontal="left" vertical="top" wrapText="1"/>
    </xf>
    <xf numFmtId="167" fontId="42" fillId="0" borderId="0" xfId="0" applyFont="1" applyFill="1" applyBorder="1" applyAlignment="1">
      <alignment horizontal="left" vertical="top" wrapText="1"/>
    </xf>
    <xf numFmtId="10" fontId="54" fillId="11" borderId="9" xfId="0" applyNumberFormat="1" applyFont="1" applyFill="1" applyBorder="1" applyAlignment="1">
      <alignment horizontal="left" vertical="top"/>
    </xf>
    <xf numFmtId="10" fontId="54" fillId="11" borderId="1" xfId="0" applyNumberFormat="1" applyFont="1" applyFill="1" applyBorder="1" applyAlignment="1">
      <alignment horizontal="left" vertical="top"/>
    </xf>
    <xf numFmtId="0" fontId="13" fillId="0" borderId="4" xfId="0" applyNumberFormat="1" applyFont="1" applyFill="1" applyBorder="1" applyAlignment="1">
      <alignment horizontal="left" vertical="top"/>
    </xf>
    <xf numFmtId="0" fontId="13" fillId="0" borderId="0" xfId="0" applyNumberFormat="1" applyFont="1" applyFill="1" applyBorder="1" applyAlignment="1">
      <alignment horizontal="left" vertical="top"/>
    </xf>
    <xf numFmtId="9" fontId="13" fillId="0" borderId="13" xfId="2" applyFont="1" applyFill="1" applyBorder="1" applyAlignment="1">
      <alignment horizontal="center" vertical="top"/>
    </xf>
    <xf numFmtId="9" fontId="13" fillId="0" borderId="12" xfId="2" applyFont="1" applyFill="1" applyBorder="1" applyAlignment="1">
      <alignment horizontal="center" vertical="top"/>
    </xf>
    <xf numFmtId="9" fontId="13" fillId="0" borderId="14" xfId="2" applyFont="1" applyFill="1" applyBorder="1" applyAlignment="1">
      <alignment horizontal="center" vertical="top"/>
    </xf>
    <xf numFmtId="10" fontId="13" fillId="0" borderId="4" xfId="0" applyNumberFormat="1" applyFont="1" applyFill="1" applyBorder="1" applyAlignment="1">
      <alignment horizontal="center" vertical="top"/>
    </xf>
    <xf numFmtId="10" fontId="13" fillId="0" borderId="0" xfId="0" applyNumberFormat="1" applyFont="1" applyFill="1" applyBorder="1" applyAlignment="1">
      <alignment horizontal="center" vertical="top"/>
    </xf>
    <xf numFmtId="10" fontId="13" fillId="0" borderId="5" xfId="0" applyNumberFormat="1" applyFont="1" applyFill="1" applyBorder="1" applyAlignment="1">
      <alignment horizontal="center" vertical="top"/>
    </xf>
    <xf numFmtId="167" fontId="13" fillId="0" borderId="50" xfId="0" quotePrefix="1" applyFont="1" applyBorder="1" applyAlignment="1">
      <alignment horizontal="left" vertical="top" wrapText="1"/>
    </xf>
    <xf numFmtId="167" fontId="13" fillId="0" borderId="0" xfId="0" applyFont="1" applyBorder="1" applyAlignment="1">
      <alignment horizontal="left" vertical="top" wrapText="1"/>
    </xf>
    <xf numFmtId="167" fontId="13" fillId="0" borderId="51" xfId="0" applyFont="1" applyBorder="1" applyAlignment="1">
      <alignment horizontal="left" vertical="top" wrapText="1"/>
    </xf>
    <xf numFmtId="167" fontId="13" fillId="0" borderId="50" xfId="0" applyFont="1" applyBorder="1" applyAlignment="1">
      <alignment horizontal="left" vertical="top" wrapText="1"/>
    </xf>
    <xf numFmtId="0" fontId="65" fillId="0" borderId="50" xfId="0" applyNumberFormat="1" applyFont="1" applyBorder="1" applyAlignment="1">
      <alignment vertical="top" wrapText="1"/>
    </xf>
    <xf numFmtId="0" fontId="65" fillId="0" borderId="0" xfId="0" applyNumberFormat="1" applyFont="1" applyBorder="1" applyAlignment="1">
      <alignment vertical="top" wrapText="1"/>
    </xf>
    <xf numFmtId="0" fontId="65" fillId="0" borderId="51" xfId="0" applyNumberFormat="1" applyFont="1" applyBorder="1" applyAlignment="1">
      <alignment vertical="top" wrapText="1"/>
    </xf>
    <xf numFmtId="167" fontId="13" fillId="0" borderId="4" xfId="0" applyFont="1" applyFill="1" applyBorder="1" applyAlignment="1">
      <alignment horizontal="left" vertical="top" indent="1"/>
    </xf>
    <xf numFmtId="167" fontId="13" fillId="0" borderId="0" xfId="0" applyFont="1" applyFill="1" applyBorder="1" applyAlignment="1">
      <alignment horizontal="left" vertical="top" indent="1"/>
    </xf>
    <xf numFmtId="0" fontId="26" fillId="0" borderId="4" xfId="0" applyNumberFormat="1" applyFont="1" applyFill="1" applyBorder="1" applyAlignment="1">
      <alignment horizontal="left" vertical="top" indent="1"/>
    </xf>
    <xf numFmtId="0" fontId="26" fillId="0" borderId="0" xfId="0" applyNumberFormat="1" applyFont="1" applyFill="1" applyBorder="1" applyAlignment="1">
      <alignment horizontal="left" vertical="top" indent="1"/>
    </xf>
    <xf numFmtId="0" fontId="13" fillId="0" borderId="50" xfId="0" applyNumberFormat="1" applyFont="1" applyBorder="1" applyAlignment="1">
      <alignment vertical="top" wrapText="1"/>
    </xf>
    <xf numFmtId="0" fontId="13" fillId="0" borderId="0" xfId="0" applyNumberFormat="1" applyFont="1" applyBorder="1" applyAlignment="1">
      <alignment vertical="top" wrapText="1"/>
    </xf>
    <xf numFmtId="0" fontId="13" fillId="0" borderId="52" xfId="0" applyNumberFormat="1" applyFont="1" applyBorder="1" applyAlignment="1">
      <alignment vertical="top" wrapText="1"/>
    </xf>
    <xf numFmtId="0" fontId="13" fillId="0" borderId="45" xfId="0" applyNumberFormat="1" applyFont="1" applyBorder="1" applyAlignment="1">
      <alignment vertical="top" wrapText="1"/>
    </xf>
    <xf numFmtId="0" fontId="13" fillId="0" borderId="0" xfId="0" applyNumberFormat="1" applyFont="1" applyFill="1" applyBorder="1" applyAlignment="1">
      <alignment vertical="top" wrapText="1"/>
    </xf>
    <xf numFmtId="0" fontId="27" fillId="0" borderId="0" xfId="0" applyNumberFormat="1" applyFont="1" applyBorder="1" applyAlignment="1">
      <alignment vertical="top" wrapText="1"/>
    </xf>
    <xf numFmtId="49" fontId="25" fillId="0" borderId="0" xfId="0" applyNumberFormat="1" applyFont="1" applyBorder="1" applyAlignment="1">
      <alignment vertical="top" wrapText="1"/>
    </xf>
    <xf numFmtId="167" fontId="32" fillId="12" borderId="9" xfId="0" applyFont="1" applyFill="1" applyBorder="1" applyAlignment="1">
      <alignment horizontal="center" vertical="top"/>
    </xf>
    <xf numFmtId="167" fontId="32" fillId="12" borderId="10" xfId="0" applyFont="1" applyFill="1" applyBorder="1" applyAlignment="1">
      <alignment horizontal="center" vertical="top"/>
    </xf>
    <xf numFmtId="167" fontId="32" fillId="12" borderId="1" xfId="0" applyFont="1" applyFill="1" applyBorder="1" applyAlignment="1">
      <alignment horizontal="center" vertical="top"/>
    </xf>
    <xf numFmtId="10" fontId="32" fillId="11" borderId="9" xfId="0" applyNumberFormat="1" applyFont="1" applyFill="1" applyBorder="1" applyAlignment="1">
      <alignment horizontal="left" vertical="top"/>
    </xf>
    <xf numFmtId="10" fontId="32" fillId="11" borderId="10" xfId="0" applyNumberFormat="1" applyFont="1" applyFill="1" applyBorder="1" applyAlignment="1">
      <alignment horizontal="left" vertical="top"/>
    </xf>
    <xf numFmtId="0" fontId="35" fillId="0" borderId="4" xfId="0" applyNumberFormat="1" applyFont="1" applyFill="1" applyBorder="1" applyAlignment="1">
      <alignment horizontal="left" vertical="top" indent="1"/>
    </xf>
    <xf numFmtId="0" fontId="35" fillId="0" borderId="0" xfId="0" applyNumberFormat="1" applyFont="1" applyFill="1" applyBorder="1" applyAlignment="1">
      <alignment horizontal="left" vertical="top" indent="1"/>
    </xf>
    <xf numFmtId="167" fontId="13" fillId="0" borderId="4" xfId="0" applyFont="1" applyFill="1" applyBorder="1" applyAlignment="1">
      <alignment horizontal="left" vertical="top"/>
    </xf>
    <xf numFmtId="167" fontId="13" fillId="0" borderId="0" xfId="0" applyFont="1" applyFill="1" applyBorder="1" applyAlignment="1">
      <alignment horizontal="left" vertical="top"/>
    </xf>
    <xf numFmtId="167" fontId="13" fillId="0" borderId="13" xfId="0" applyFont="1" applyFill="1" applyBorder="1" applyAlignment="1">
      <alignment horizontal="left" vertical="top" indent="1"/>
    </xf>
    <xf numFmtId="167" fontId="13" fillId="0" borderId="12" xfId="0" applyFont="1" applyFill="1" applyBorder="1" applyAlignment="1">
      <alignment horizontal="left" vertical="top" indent="1"/>
    </xf>
    <xf numFmtId="10" fontId="14" fillId="2" borderId="9" xfId="0" applyNumberFormat="1" applyFont="1" applyFill="1" applyBorder="1" applyAlignment="1">
      <alignment horizontal="left" vertical="top"/>
    </xf>
    <xf numFmtId="10" fontId="14" fillId="2" borderId="1" xfId="0" applyNumberFormat="1" applyFont="1" applyFill="1" applyBorder="1" applyAlignment="1">
      <alignment horizontal="left" vertical="top"/>
    </xf>
    <xf numFmtId="167" fontId="32" fillId="11" borderId="9" xfId="0" applyFont="1" applyFill="1" applyBorder="1" applyAlignment="1">
      <alignment horizontal="center" vertical="top"/>
    </xf>
    <xf numFmtId="167" fontId="32" fillId="11" borderId="10" xfId="0" applyFont="1" applyFill="1" applyBorder="1" applyAlignment="1">
      <alignment horizontal="center" vertical="top"/>
    </xf>
    <xf numFmtId="167" fontId="32" fillId="11" borderId="1" xfId="0" applyFont="1" applyFill="1" applyBorder="1" applyAlignment="1">
      <alignment horizontal="center" vertical="top"/>
    </xf>
    <xf numFmtId="10" fontId="14" fillId="2" borderId="10" xfId="0" applyNumberFormat="1" applyFont="1" applyFill="1" applyBorder="1" applyAlignment="1">
      <alignment horizontal="left" vertical="top"/>
    </xf>
    <xf numFmtId="166" fontId="5" fillId="0" borderId="0" xfId="0" applyNumberFormat="1" applyFont="1" applyBorder="1" applyAlignment="1">
      <alignment horizontal="left"/>
    </xf>
    <xf numFmtId="166" fontId="5" fillId="0" borderId="45" xfId="0" applyNumberFormat="1" applyFont="1" applyBorder="1" applyAlignment="1">
      <alignment horizontal="left"/>
    </xf>
    <xf numFmtId="166" fontId="5" fillId="0" borderId="56" xfId="0" applyNumberFormat="1" applyFont="1" applyBorder="1" applyAlignment="1">
      <alignment horizontal="left" indent="1"/>
    </xf>
    <xf numFmtId="167" fontId="5" fillId="0" borderId="7" xfId="0" applyNumberFormat="1" applyFont="1" applyFill="1" applyBorder="1" applyAlignment="1"/>
    <xf numFmtId="166" fontId="5" fillId="0" borderId="12" xfId="0" applyNumberFormat="1" applyFont="1" applyBorder="1" applyAlignment="1">
      <alignment horizontal="left"/>
    </xf>
    <xf numFmtId="166" fontId="42" fillId="0" borderId="0" xfId="0" applyNumberFormat="1" applyFont="1" applyBorder="1" applyAlignment="1">
      <alignment horizontal="left"/>
    </xf>
    <xf numFmtId="167" fontId="13" fillId="0" borderId="7" xfId="0" applyNumberFormat="1" applyFont="1" applyFill="1" applyBorder="1" applyAlignment="1">
      <alignment horizontal="left" indent="1"/>
    </xf>
    <xf numFmtId="167" fontId="25" fillId="0" borderId="10" xfId="0" applyNumberFormat="1" applyFont="1" applyFill="1" applyBorder="1" applyAlignment="1">
      <alignment horizontal="left"/>
    </xf>
    <xf numFmtId="167" fontId="5" fillId="0" borderId="0" xfId="0" applyFont="1" applyFill="1" applyBorder="1" applyAlignment="1">
      <alignment wrapText="1"/>
    </xf>
    <xf numFmtId="167" fontId="13" fillId="0" borderId="12" xfId="0" applyNumberFormat="1" applyFont="1" applyFill="1" applyBorder="1" applyAlignment="1"/>
    <xf numFmtId="167" fontId="14" fillId="0" borderId="12" xfId="0" applyNumberFormat="1" applyFont="1" applyFill="1" applyBorder="1" applyAlignment="1"/>
    <xf numFmtId="167" fontId="14" fillId="0" borderId="7" xfId="0" applyNumberFormat="1" applyFont="1" applyFill="1" applyBorder="1" applyAlignment="1">
      <alignment horizontal="left" indent="1"/>
    </xf>
    <xf numFmtId="167" fontId="25" fillId="0" borderId="0" xfId="0" applyFont="1" applyFill="1" applyBorder="1" applyAlignment="1">
      <alignment wrapText="1"/>
    </xf>
    <xf numFmtId="167" fontId="13" fillId="0" borderId="0" xfId="0" applyNumberFormat="1" applyFont="1" applyFill="1" applyBorder="1" applyAlignment="1">
      <alignment horizontal="left" indent="1"/>
    </xf>
    <xf numFmtId="167" fontId="13" fillId="0" borderId="43" xfId="0" applyNumberFormat="1" applyFont="1" applyFill="1" applyBorder="1" applyAlignment="1"/>
  </cellXfs>
  <cellStyles count="16">
    <cellStyle name="%" xfId="8"/>
    <cellStyle name="Hyperlink" xfId="1" builtinId="8"/>
    <cellStyle name="Lien hypertexte 2" xfId="7"/>
    <cellStyle name="Milliers 2" xfId="9"/>
    <cellStyle name="Normal 10 2" xfId="5"/>
    <cellStyle name="Normal 2" xfId="10"/>
    <cellStyle name="Normal 3" xfId="3"/>
    <cellStyle name="Normal 4" xfId="6"/>
    <cellStyle name="Pourcentage 2" xfId="11"/>
    <cellStyle name="Procent" xfId="2" builtinId="5"/>
    <cellStyle name="Standaard" xfId="0" builtinId="0"/>
    <cellStyle name="Standard_CO_Datasheet_Umbau" xfId="12"/>
    <cellStyle name="Style 1" xfId="4"/>
    <cellStyle name="Table - Number" xfId="13"/>
    <cellStyle name="Table - Text" xfId="14"/>
    <cellStyle name="Table - Text Bold" xfId="15"/>
  </cellStyles>
  <dxfs count="0"/>
  <tableStyles count="0" defaultTableStyle="TableStyleMedium9" defaultPivotStyle="PivotStyleLight16"/>
  <colors>
    <mruColors>
      <color rgb="FFCC0000"/>
      <color rgb="FFFFDC6D"/>
      <color rgb="FFFFC000"/>
      <color rgb="FFFFD03B"/>
      <color rgb="FFFFFF66"/>
      <color rgb="FFFFFFCC"/>
      <color rgb="FF00FA71"/>
      <color rgb="FFFFFF00"/>
      <color rgb="FFFFFF99"/>
      <color rgb="FFFF474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'FINAL BIPT &amp; Cullen 2014'!$AP$58</c:f>
              <c:strCache>
                <c:ptCount val="1"/>
                <c:pt idx="0">
                  <c:v>Low</c:v>
                </c:pt>
              </c:strCache>
            </c:strRef>
          </c:tx>
          <c:spPr>
            <a:noFill/>
          </c:spPr>
          <c:invertIfNegative val="0"/>
          <c:val>
            <c:numRef>
              <c:f>'FINAL BIPT &amp; Cullen 2014'!$AQ$58:$AT$58</c:f>
              <c:numCache>
                <c:formatCode>0.0%</c:formatCode>
                <c:ptCount val="4"/>
                <c:pt idx="0">
                  <c:v>4.4600000000000001E-2</c:v>
                </c:pt>
                <c:pt idx="1">
                  <c:v>4.4699999999999997E-2</c:v>
                </c:pt>
                <c:pt idx="2">
                  <c:v>7.6999999999999999E-2</c:v>
                </c:pt>
                <c:pt idx="3">
                  <c:v>9.69E-2</c:v>
                </c:pt>
              </c:numCache>
            </c:numRef>
          </c:val>
        </c:ser>
        <c:ser>
          <c:idx val="1"/>
          <c:order val="1"/>
          <c:tx>
            <c:strRef>
              <c:f>'FINAL BIPT &amp; Cullen 2014'!$AP$59</c:f>
              <c:strCache>
                <c:ptCount val="1"/>
                <c:pt idx="0">
                  <c:v>2014</c:v>
                </c:pt>
              </c:strCache>
            </c:strRef>
          </c:tx>
          <c:spPr>
            <a:solidFill>
              <a:schemeClr val="bg2">
                <a:lumMod val="90000"/>
              </a:schemeClr>
            </a:solidFill>
          </c:spPr>
          <c:invertIfNegative val="0"/>
          <c:val>
            <c:numRef>
              <c:f>'FINAL BIPT &amp; Cullen 2014'!$AQ$59:$AT$59</c:f>
              <c:numCache>
                <c:formatCode>0.0%</c:formatCode>
                <c:ptCount val="4"/>
                <c:pt idx="0">
                  <c:v>3.6749159833066036E-2</c:v>
                </c:pt>
                <c:pt idx="1">
                  <c:v>3.6614444978701095E-2</c:v>
                </c:pt>
                <c:pt idx="2">
                  <c:v>1.9121785799172827E-2</c:v>
                </c:pt>
                <c:pt idx="3">
                  <c:v>3.5917173404925035E-3</c:v>
                </c:pt>
              </c:numCache>
            </c:numRef>
          </c:val>
        </c:ser>
        <c:ser>
          <c:idx val="2"/>
          <c:order val="2"/>
          <c:tx>
            <c:strRef>
              <c:f>'FINAL BIPT &amp; Cullen 2014'!$AP$60</c:f>
              <c:strCache>
                <c:ptCount val="1"/>
                <c:pt idx="0">
                  <c:v>Average</c:v>
                </c:pt>
              </c:strCache>
            </c:strRef>
          </c:tx>
          <c:spPr>
            <a:solidFill>
              <a:schemeClr val="bg2">
                <a:lumMod val="75000"/>
              </a:schemeClr>
            </a:solidFill>
          </c:spPr>
          <c:invertIfNegative val="0"/>
          <c:val>
            <c:numRef>
              <c:f>'FINAL BIPT &amp; Cullen 2014'!$AQ$60:$AT$60</c:f>
              <c:numCache>
                <c:formatCode>0.0%</c:formatCode>
                <c:ptCount val="4"/>
                <c:pt idx="0">
                  <c:v>5.8522017793822684E-3</c:v>
                </c:pt>
                <c:pt idx="1">
                  <c:v>1.2498336177331731E-2</c:v>
                </c:pt>
                <c:pt idx="2">
                  <c:v>5.2938392008271828E-3</c:v>
                </c:pt>
                <c:pt idx="3">
                  <c:v>1.9665227103951924E-2</c:v>
                </c:pt>
              </c:numCache>
            </c:numRef>
          </c:val>
        </c:ser>
        <c:ser>
          <c:idx val="3"/>
          <c:order val="3"/>
          <c:tx>
            <c:strRef>
              <c:f>'FINAL BIPT &amp; Cullen 2014'!$AP$61</c:f>
              <c:strCache>
                <c:ptCount val="1"/>
                <c:pt idx="0">
                  <c:v>Median</c:v>
                </c:pt>
              </c:strCache>
            </c:strRef>
          </c:tx>
          <c:spPr>
            <a:solidFill>
              <a:schemeClr val="bg2">
                <a:lumMod val="50000"/>
              </a:schemeClr>
            </a:solidFill>
          </c:spPr>
          <c:invertIfNegative val="0"/>
          <c:val>
            <c:numRef>
              <c:f>'FINAL BIPT &amp; Cullen 2014'!$AQ$61:$AT$61</c:f>
              <c:numCache>
                <c:formatCode>0.0%</c:formatCode>
                <c:ptCount val="4"/>
                <c:pt idx="0">
                  <c:v>7.0986383875516895E-3</c:v>
                </c:pt>
                <c:pt idx="1">
                  <c:v>6.6789361844596801E-3</c:v>
                </c:pt>
                <c:pt idx="2">
                  <c:v>9.0937499999999005E-4</c:v>
                </c:pt>
                <c:pt idx="3">
                  <c:v>-5.6944444444428921E-5</c:v>
                </c:pt>
              </c:numCache>
            </c:numRef>
          </c:val>
        </c:ser>
        <c:ser>
          <c:idx val="4"/>
          <c:order val="4"/>
          <c:tx>
            <c:v>Previous</c:v>
          </c:tx>
          <c:spPr>
            <a:solidFill>
              <a:schemeClr val="bg2">
                <a:lumMod val="75000"/>
              </a:schemeClr>
            </a:solidFill>
          </c:spPr>
          <c:invertIfNegative val="0"/>
          <c:val>
            <c:numRef>
              <c:f>'FINAL BIPT &amp; Cullen 2014'!$AQ$62:$AT$62</c:f>
              <c:numCache>
                <c:formatCode>0.0%</c:formatCode>
                <c:ptCount val="4"/>
                <c:pt idx="0">
                  <c:v>1.8217857991728315E-3</c:v>
                </c:pt>
                <c:pt idx="1">
                  <c:v>0</c:v>
                </c:pt>
                <c:pt idx="2">
                  <c:v>9.675000000000003E-3</c:v>
                </c:pt>
                <c:pt idx="3">
                  <c:v>2.2999999999999965E-3</c:v>
                </c:pt>
              </c:numCache>
            </c:numRef>
          </c:val>
        </c:ser>
        <c:ser>
          <c:idx val="5"/>
          <c:order val="5"/>
          <c:tx>
            <c:strRef>
              <c:f>'FINAL BIPT &amp; Cullen 2014'!$AP$63</c:f>
              <c:strCache>
                <c:ptCount val="1"/>
                <c:pt idx="0">
                  <c:v>High</c:v>
                </c:pt>
              </c:strCache>
            </c:strRef>
          </c:tx>
          <c:spPr>
            <a:solidFill>
              <a:schemeClr val="bg2">
                <a:lumMod val="90000"/>
              </a:schemeClr>
            </a:solidFill>
          </c:spPr>
          <c:invertIfNegative val="0"/>
          <c:val>
            <c:numRef>
              <c:f>'FINAL BIPT &amp; Cullen 2014'!$AQ$63:$AT$63</c:f>
              <c:numCache>
                <c:formatCode>0.0%</c:formatCode>
                <c:ptCount val="4"/>
                <c:pt idx="0">
                  <c:v>2.6478214200827174E-2</c:v>
                </c:pt>
                <c:pt idx="1">
                  <c:v>4.2408282659507496E-2</c:v>
                </c:pt>
                <c:pt idx="2">
                  <c:v>2.0000000000000004E-2</c:v>
                </c:pt>
                <c:pt idx="3">
                  <c:v>2.5700000000000014E-2</c:v>
                </c:pt>
              </c:numCache>
            </c:numRef>
          </c:val>
        </c:ser>
        <c:dLbls>
          <c:showLegendKey val="0"/>
          <c:showVal val="0"/>
          <c:showCatName val="0"/>
          <c:showSerName val="0"/>
          <c:showPercent val="0"/>
          <c:showBubbleSize val="0"/>
        </c:dLbls>
        <c:gapWidth val="63"/>
        <c:overlap val="100"/>
        <c:axId val="104538496"/>
        <c:axId val="104540032"/>
      </c:barChart>
      <c:catAx>
        <c:axId val="104538496"/>
        <c:scaling>
          <c:orientation val="minMax"/>
        </c:scaling>
        <c:delete val="1"/>
        <c:axPos val="l"/>
        <c:numFmt formatCode="General" sourceLinked="1"/>
        <c:majorTickMark val="out"/>
        <c:minorTickMark val="none"/>
        <c:tickLblPos val="none"/>
        <c:crossAx val="104540032"/>
        <c:crosses val="autoZero"/>
        <c:auto val="1"/>
        <c:lblAlgn val="ctr"/>
        <c:lblOffset val="100"/>
        <c:noMultiLvlLbl val="0"/>
      </c:catAx>
      <c:valAx>
        <c:axId val="104540032"/>
        <c:scaling>
          <c:orientation val="minMax"/>
          <c:max val="0.15000000000000024"/>
          <c:min val="0.05"/>
        </c:scaling>
        <c:delete val="0"/>
        <c:axPos val="b"/>
        <c:majorGridlines>
          <c:spPr>
            <a:ln>
              <a:solidFill>
                <a:schemeClr val="bg1">
                  <a:lumMod val="50000"/>
                </a:schemeClr>
              </a:solidFill>
              <a:prstDash val="dash"/>
            </a:ln>
          </c:spPr>
        </c:majorGridlines>
        <c:numFmt formatCode="0%" sourceLinked="0"/>
        <c:majorTickMark val="out"/>
        <c:minorTickMark val="none"/>
        <c:tickLblPos val="nextTo"/>
        <c:spPr>
          <a:ln>
            <a:solidFill>
              <a:schemeClr val="bg1">
                <a:lumMod val="50000"/>
              </a:schemeClr>
            </a:solidFill>
          </a:ln>
        </c:spPr>
        <c:crossAx val="104538496"/>
        <c:crosses val="autoZero"/>
        <c:crossBetween val="between"/>
        <c:majorUnit val="1.0000000000000005E-2"/>
      </c:valAx>
      <c:spPr>
        <a:noFill/>
      </c:spPr>
    </c:plotArea>
    <c:plotVisOnly val="1"/>
    <c:dispBlanksAs val="gap"/>
    <c:showDLblsOverMax val="0"/>
  </c:chart>
  <c:spPr>
    <a:noFill/>
    <a:ln>
      <a:noFill/>
    </a:ln>
  </c:spPr>
  <c:txPr>
    <a:bodyPr/>
    <a:lstStyle/>
    <a:p>
      <a:pPr>
        <a:defRPr sz="1000">
          <a:latin typeface="Arial" pitchFamily="34" charset="0"/>
          <a:cs typeface="Arial" pitchFamily="34" charset="0"/>
        </a:defRPr>
      </a:pPr>
      <a:endParaRPr lang="fr-FR"/>
    </a:p>
  </c:txPr>
  <c:printSettings>
    <c:headerFooter/>
    <c:pageMargins b="0.75000000000001332" l="0.70000000000000062" r="0.70000000000000062" t="0.75000000000001332"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18972707306766E-2"/>
          <c:y val="3.3837417575604899E-2"/>
          <c:w val="0.85516442342022092"/>
          <c:h val="0.87320856286200743"/>
        </c:manualLayout>
      </c:layout>
      <c:scatterChart>
        <c:scatterStyle val="lineMarker"/>
        <c:varyColors val="0"/>
        <c:ser>
          <c:idx val="0"/>
          <c:order val="0"/>
          <c:spPr>
            <a:ln w="28575">
              <a:noFill/>
            </a:ln>
          </c:spPr>
          <c:marker>
            <c:symbol val="circle"/>
            <c:size val="9"/>
            <c:spPr>
              <a:solidFill>
                <a:schemeClr val="bg2">
                  <a:lumMod val="75000"/>
                  <a:alpha val="50000"/>
                </a:schemeClr>
              </a:solidFill>
              <a:ln>
                <a:noFill/>
              </a:ln>
            </c:spPr>
          </c:marker>
          <c:dPt>
            <c:idx val="5"/>
            <c:marker>
              <c:symbol val="circle"/>
              <c:size val="12"/>
              <c:spPr>
                <a:solidFill>
                  <a:srgbClr val="C00000">
                    <a:alpha val="50000"/>
                  </a:srgbClr>
                </a:solidFill>
                <a:ln>
                  <a:noFill/>
                </a:ln>
              </c:spPr>
            </c:marker>
            <c:bubble3D val="0"/>
          </c:dPt>
          <c:dPt>
            <c:idx val="8"/>
            <c:marker>
              <c:symbol val="circle"/>
              <c:size val="12"/>
              <c:spPr>
                <a:solidFill>
                  <a:schemeClr val="accent3">
                    <a:lumMod val="50000"/>
                    <a:alpha val="50000"/>
                  </a:schemeClr>
                </a:solidFill>
                <a:ln>
                  <a:noFill/>
                </a:ln>
              </c:spPr>
            </c:marker>
            <c:bubble3D val="0"/>
          </c:dPt>
          <c:dLbls>
            <c:dLbl>
              <c:idx val="0"/>
              <c:tx>
                <c:strRef>
                  <c:f>'FINAL BIPT &amp; Cullen 2014'!$BP$57</c:f>
                  <c:strCache>
                    <c:ptCount val="1"/>
                    <c:pt idx="0">
                      <c:v>DK</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
              <c:tx>
                <c:strRef>
                  <c:f>'FINAL BIPT &amp; Cullen 2014'!$BP$58</c:f>
                  <c:strCache>
                    <c:ptCount val="1"/>
                    <c:pt idx="0">
                      <c:v>NL/Brattle</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2"/>
              <c:tx>
                <c:strRef>
                  <c:f>'FINAL BIPT &amp; Cullen 2014'!$BP$59</c:f>
                  <c:strCache>
                    <c:ptCount val="1"/>
                    <c:pt idx="0">
                      <c:v>DE</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3"/>
              <c:tx>
                <c:strRef>
                  <c:f>'FINAL BIPT &amp; Cullen 2014'!$BP$60</c:f>
                  <c:strCache>
                    <c:ptCount val="1"/>
                    <c:pt idx="0">
                      <c:v>FI</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4"/>
              <c:tx>
                <c:strRef>
                  <c:f>'FINAL BIPT &amp; Cullen 2014'!$BP$61</c:f>
                  <c:strCache>
                    <c:ptCount val="1"/>
                    <c:pt idx="0">
                      <c:v>SE</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5"/>
              <c:tx>
                <c:strRef>
                  <c:f>'FINAL BIPT &amp; Cullen 2014'!$BP$62</c:f>
                  <c:strCache>
                    <c:ptCount val="1"/>
                    <c:pt idx="0">
                      <c:v>BIPT 2014</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6"/>
              <c:tx>
                <c:strRef>
                  <c:f>'FINAL BIPT &amp; Cullen 2014'!$BP$63</c:f>
                  <c:strCache>
                    <c:ptCount val="1"/>
                    <c:pt idx="0">
                      <c:v>IE</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7"/>
              <c:tx>
                <c:strRef>
                  <c:f>'FINAL BIPT &amp; Cullen 2014'!$BP$64</c:f>
                  <c:strCache>
                    <c:ptCount val="1"/>
                    <c:pt idx="0">
                      <c:v>UK</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8"/>
              <c:tx>
                <c:strRef>
                  <c:f>'FINAL BIPT &amp; Cullen 2014'!$BP$65</c:f>
                  <c:strCache>
                    <c:ptCount val="1"/>
                    <c:pt idx="0">
                      <c:v>BIPT 2010</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9"/>
              <c:tx>
                <c:strRef>
                  <c:f>'FINAL BIPT &amp; Cullen 2014'!$BP$66</c:f>
                  <c:strCache>
                    <c:ptCount val="1"/>
                    <c:pt idx="0">
                      <c:v>ES</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0"/>
              <c:tx>
                <c:strRef>
                  <c:f>'FINAL BIPT &amp; Cullen 2014'!$BP$67</c:f>
                  <c:strCache>
                    <c:ptCount val="1"/>
                    <c:pt idx="0">
                      <c:v>FR</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1"/>
              <c:tx>
                <c:strRef>
                  <c:f>'FINAL BIPT &amp; Cullen 2014'!$BP$68</c:f>
                  <c:strCache>
                    <c:ptCount val="1"/>
                    <c:pt idx="0">
                      <c:v>IT</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2"/>
              <c:tx>
                <c:strRef>
                  <c:f>'FINAL BIPT &amp; Cullen 2014'!$BP$69</c:f>
                  <c:strCache>
                    <c:ptCount val="1"/>
                    <c:pt idx="0">
                      <c:v>PT</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3"/>
              <c:tx>
                <c:strRef>
                  <c:f>'FINAL BIPT &amp; Cullen 2014'!$BP$70</c:f>
                  <c:strCache>
                    <c:ptCount val="1"/>
                    <c:pt idx="0">
                      <c:v>AT</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4"/>
              <c:tx>
                <c:strRef>
                  <c:f>'FINAL BIPT &amp; Cullen 2014'!$BP$71</c:f>
                  <c:strCache>
                    <c:ptCount val="1"/>
                    <c:pt idx="0">
                      <c:v>NO</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5"/>
              <c:tx>
                <c:strRef>
                  <c:f>'FINAL BIPT &amp; Cullen 2014'!$BP$72</c:f>
                  <c:strCache>
                    <c:ptCount val="1"/>
                    <c:pt idx="0">
                      <c:v>GR</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txPr>
              <a:bodyPr/>
              <a:lstStyle/>
              <a:p>
                <a:pPr>
                  <a:defRPr sz="1200"/>
                </a:pPr>
                <a:endParaRPr lang="fr-FR"/>
              </a:p>
            </c:txPr>
            <c:showLegendKey val="0"/>
            <c:showVal val="1"/>
            <c:showCatName val="0"/>
            <c:showSerName val="0"/>
            <c:showPercent val="0"/>
            <c:showBubbleSize val="0"/>
            <c:showLeaderLines val="0"/>
          </c:dLbls>
          <c:xVal>
            <c:numRef>
              <c:f>'FINAL BIPT &amp; Cullen 2014'!$BQ$57:$BQ$72</c:f>
              <c:numCache>
                <c:formatCode>[$-809]mmmm\ yyyy;@</c:formatCode>
                <c:ptCount val="16"/>
                <c:pt idx="0">
                  <c:v>41563</c:v>
                </c:pt>
                <c:pt idx="1">
                  <c:v>41348</c:v>
                </c:pt>
                <c:pt idx="2">
                  <c:v>41275</c:v>
                </c:pt>
                <c:pt idx="3">
                  <c:v>41761</c:v>
                </c:pt>
                <c:pt idx="4">
                  <c:v>41740</c:v>
                </c:pt>
                <c:pt idx="5">
                  <c:v>41852</c:v>
                </c:pt>
                <c:pt idx="6">
                  <c:v>41740</c:v>
                </c:pt>
                <c:pt idx="7">
                  <c:v>40617</c:v>
                </c:pt>
                <c:pt idx="8">
                  <c:v>40302</c:v>
                </c:pt>
                <c:pt idx="9">
                  <c:v>41592</c:v>
                </c:pt>
                <c:pt idx="10">
                  <c:v>41303</c:v>
                </c:pt>
                <c:pt idx="11">
                  <c:v>40864</c:v>
                </c:pt>
                <c:pt idx="12">
                  <c:v>41029</c:v>
                </c:pt>
                <c:pt idx="13">
                  <c:v>41547</c:v>
                </c:pt>
                <c:pt idx="14">
                  <c:v>41624</c:v>
                </c:pt>
                <c:pt idx="15">
                  <c:v>41757</c:v>
                </c:pt>
              </c:numCache>
            </c:numRef>
          </c:xVal>
          <c:yVal>
            <c:numRef>
              <c:f>'FINAL BIPT &amp; Cullen 2014'!$BR$57:$BR$72</c:f>
              <c:numCache>
                <c:formatCode>0.0%</c:formatCode>
                <c:ptCount val="16"/>
                <c:pt idx="0">
                  <c:v>4.4699999999999997E-2</c:v>
                </c:pt>
                <c:pt idx="1">
                  <c:v>6.7000000000000004E-2</c:v>
                </c:pt>
                <c:pt idx="2">
                  <c:v>7.0699999999999999E-2</c:v>
                </c:pt>
                <c:pt idx="3">
                  <c:v>7.6500000000000012E-2</c:v>
                </c:pt>
                <c:pt idx="4">
                  <c:v>7.8E-2</c:v>
                </c:pt>
                <c:pt idx="5">
                  <c:v>8.1314444978701092E-2</c:v>
                </c:pt>
                <c:pt idx="6">
                  <c:v>8.6599999999999996E-2</c:v>
                </c:pt>
                <c:pt idx="7">
                  <c:v>8.8999999999999996E-2</c:v>
                </c:pt>
                <c:pt idx="8">
                  <c:v>0.1004917173404925</c:v>
                </c:pt>
                <c:pt idx="9">
                  <c:v>0.10059999999999999</c:v>
                </c:pt>
                <c:pt idx="10">
                  <c:v>0.104</c:v>
                </c:pt>
                <c:pt idx="11">
                  <c:v>0.104</c:v>
                </c:pt>
                <c:pt idx="12">
                  <c:v>0.111</c:v>
                </c:pt>
                <c:pt idx="13">
                  <c:v>0.1137</c:v>
                </c:pt>
                <c:pt idx="14">
                  <c:v>0.11799999999999999</c:v>
                </c:pt>
                <c:pt idx="15">
                  <c:v>0.1429</c:v>
                </c:pt>
              </c:numCache>
            </c:numRef>
          </c:yVal>
          <c:smooth val="0"/>
        </c:ser>
        <c:dLbls>
          <c:showLegendKey val="0"/>
          <c:showVal val="0"/>
          <c:showCatName val="0"/>
          <c:showSerName val="0"/>
          <c:showPercent val="0"/>
          <c:showBubbleSize val="0"/>
        </c:dLbls>
        <c:axId val="115913088"/>
        <c:axId val="115914624"/>
      </c:scatterChart>
      <c:valAx>
        <c:axId val="115913088"/>
        <c:scaling>
          <c:orientation val="minMax"/>
          <c:max val="41880"/>
        </c:scaling>
        <c:delete val="0"/>
        <c:axPos val="b"/>
        <c:numFmt formatCode="mm/yyyy;@" sourceLinked="0"/>
        <c:majorTickMark val="out"/>
        <c:minorTickMark val="none"/>
        <c:tickLblPos val="nextTo"/>
        <c:crossAx val="115914624"/>
        <c:crosses val="autoZero"/>
        <c:crossBetween val="midCat"/>
        <c:majorUnit val="250"/>
      </c:valAx>
      <c:valAx>
        <c:axId val="115914624"/>
        <c:scaling>
          <c:orientation val="minMax"/>
          <c:max val="0.15000000000000024"/>
          <c:min val="4.0000000000000022E-2"/>
        </c:scaling>
        <c:delete val="0"/>
        <c:axPos val="l"/>
        <c:majorGridlines>
          <c:spPr>
            <a:ln>
              <a:solidFill>
                <a:schemeClr val="bg1">
                  <a:lumMod val="50000"/>
                </a:schemeClr>
              </a:solidFill>
              <a:prstDash val="dash"/>
            </a:ln>
          </c:spPr>
        </c:majorGridlines>
        <c:numFmt formatCode="0%" sourceLinked="0"/>
        <c:majorTickMark val="out"/>
        <c:minorTickMark val="none"/>
        <c:tickLblPos val="nextTo"/>
        <c:spPr>
          <a:ln>
            <a:solidFill>
              <a:schemeClr val="bg1">
                <a:lumMod val="50000"/>
              </a:schemeClr>
            </a:solidFill>
          </a:ln>
        </c:spPr>
        <c:crossAx val="115913088"/>
        <c:crosses val="autoZero"/>
        <c:crossBetween val="midCat"/>
        <c:majorUnit val="1.0000000000000005E-2"/>
      </c:valAx>
    </c:plotArea>
    <c:plotVisOnly val="1"/>
    <c:dispBlanksAs val="gap"/>
    <c:showDLblsOverMax val="0"/>
  </c:chart>
  <c:spPr>
    <a:ln>
      <a:noFill/>
    </a:ln>
  </c:spPr>
  <c:txPr>
    <a:bodyPr/>
    <a:lstStyle/>
    <a:p>
      <a:pPr>
        <a:defRPr sz="1200">
          <a:latin typeface="Arial" pitchFamily="34" charset="0"/>
          <a:cs typeface="Arial" pitchFamily="34" charset="0"/>
        </a:defRPr>
      </a:pPr>
      <a:endParaRPr lang="fr-FR"/>
    </a:p>
  </c:txPr>
  <c:printSettings>
    <c:headerFooter/>
    <c:pageMargins b="0.75000000000001332" l="0.70000000000000062" r="0.70000000000000062" t="0.75000000000001332"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64869209221276"/>
          <c:y val="3.1927254310979231E-2"/>
          <c:w val="0.8151246697826442"/>
          <c:h val="0.87940685240695382"/>
        </c:manualLayout>
      </c:layout>
      <c:barChart>
        <c:barDir val="bar"/>
        <c:grouping val="stacked"/>
        <c:varyColors val="0"/>
        <c:ser>
          <c:idx val="0"/>
          <c:order val="0"/>
          <c:spPr>
            <a:solidFill>
              <a:schemeClr val="bg2">
                <a:lumMod val="90000"/>
              </a:schemeClr>
            </a:solidFill>
          </c:spPr>
          <c:invertIfNegative val="0"/>
          <c:dPt>
            <c:idx val="3"/>
            <c:invertIfNegative val="0"/>
            <c:bubble3D val="0"/>
            <c:spPr>
              <a:solidFill>
                <a:schemeClr val="bg2"/>
              </a:solidFill>
            </c:spPr>
          </c:dPt>
          <c:dPt>
            <c:idx val="7"/>
            <c:invertIfNegative val="0"/>
            <c:bubble3D val="0"/>
            <c:spPr>
              <a:solidFill>
                <a:srgbClr val="FFC000"/>
              </a:solidFill>
            </c:spPr>
          </c:dPt>
          <c:dPt>
            <c:idx val="11"/>
            <c:invertIfNegative val="0"/>
            <c:bubble3D val="0"/>
            <c:spPr>
              <a:solidFill>
                <a:schemeClr val="accent3">
                  <a:lumMod val="50000"/>
                </a:schemeClr>
              </a:solidFill>
            </c:spPr>
          </c:dPt>
          <c:dLbls>
            <c:dLbl>
              <c:idx val="5"/>
              <c:tx>
                <c:rich>
                  <a:bodyPr/>
                  <a:lstStyle/>
                  <a:p>
                    <a:r>
                      <a:rPr lang="en-US"/>
                      <a:t>6.1%</a:t>
                    </a:r>
                  </a:p>
                </c:rich>
              </c:tx>
              <c:showLegendKey val="0"/>
              <c:showVal val="1"/>
              <c:showCatName val="0"/>
              <c:showSerName val="0"/>
              <c:showPercent val="0"/>
              <c:showBubbleSize val="0"/>
            </c:dLbl>
            <c:dLbl>
              <c:idx val="6"/>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7"/>
              <c:spPr/>
              <c:txPr>
                <a:bodyPr/>
                <a:lstStyle/>
                <a:p>
                  <a:pPr>
                    <a:defRPr sz="1200">
                      <a:solidFill>
                        <a:sysClr val="windowText" lastClr="000000"/>
                      </a:solidFill>
                    </a:defRPr>
                  </a:pPr>
                  <a:endParaRPr lang="fr-FR"/>
                </a:p>
              </c:txPr>
              <c:showLegendKey val="0"/>
              <c:showVal val="1"/>
              <c:showCatName val="0"/>
              <c:showSerName val="0"/>
              <c:showPercent val="0"/>
              <c:showBubbleSize val="0"/>
            </c:dLbl>
            <c:dLbl>
              <c:idx val="10"/>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11"/>
              <c:spPr/>
              <c:txPr>
                <a:bodyPr/>
                <a:lstStyle/>
                <a:p>
                  <a:pPr>
                    <a:defRPr sz="1200">
                      <a:solidFill>
                        <a:schemeClr val="bg1"/>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2014'!$AZ$57:$AZ$74</c:f>
              <c:strCache>
                <c:ptCount val="18"/>
                <c:pt idx="0">
                  <c:v>CH</c:v>
                </c:pt>
                <c:pt idx="1">
                  <c:v>DK</c:v>
                </c:pt>
                <c:pt idx="2">
                  <c:v>NL/Brattle</c:v>
                </c:pt>
                <c:pt idx="3">
                  <c:v>NL/Nera</c:v>
                </c:pt>
                <c:pt idx="4">
                  <c:v>FI</c:v>
                </c:pt>
                <c:pt idx="5">
                  <c:v>DE</c:v>
                </c:pt>
                <c:pt idx="6">
                  <c:v>SE</c:v>
                </c:pt>
                <c:pt idx="7">
                  <c:v>BIPT 2014</c:v>
                </c:pt>
                <c:pt idx="8">
                  <c:v>IE</c:v>
                </c:pt>
                <c:pt idx="9">
                  <c:v>IT</c:v>
                </c:pt>
                <c:pt idx="10">
                  <c:v>FR</c:v>
                </c:pt>
                <c:pt idx="11">
                  <c:v>BIPT 2010</c:v>
                </c:pt>
                <c:pt idx="12">
                  <c:v>UK</c:v>
                </c:pt>
                <c:pt idx="13">
                  <c:v>NO</c:v>
                </c:pt>
                <c:pt idx="14">
                  <c:v>AT</c:v>
                </c:pt>
                <c:pt idx="15">
                  <c:v>ES</c:v>
                </c:pt>
                <c:pt idx="16">
                  <c:v>PT</c:v>
                </c:pt>
                <c:pt idx="17">
                  <c:v>GR</c:v>
                </c:pt>
              </c:strCache>
            </c:strRef>
          </c:cat>
          <c:val>
            <c:numRef>
              <c:f>'FINAL BIPT &amp; Cullen 2014'!$BC$57:$BC$74</c:f>
              <c:numCache>
                <c:formatCode>0.0%</c:formatCode>
                <c:ptCount val="18"/>
                <c:pt idx="0">
                  <c:v>4.4600000000000001E-2</c:v>
                </c:pt>
                <c:pt idx="1">
                  <c:v>4.7E-2</c:v>
                </c:pt>
                <c:pt idx="2">
                  <c:v>6.2E-2</c:v>
                </c:pt>
                <c:pt idx="3">
                  <c:v>6.9917999999999925E-2</c:v>
                </c:pt>
                <c:pt idx="4">
                  <c:v>6.2E-2</c:v>
                </c:pt>
                <c:pt idx="5">
                  <c:v>7.0699999999999999E-2</c:v>
                </c:pt>
                <c:pt idx="6">
                  <c:v>7.4999999999999997E-2</c:v>
                </c:pt>
                <c:pt idx="7">
                  <c:v>8.1349159833066037E-2</c:v>
                </c:pt>
                <c:pt idx="8">
                  <c:v>8.48E-2</c:v>
                </c:pt>
                <c:pt idx="9">
                  <c:v>9.3600000000000003E-2</c:v>
                </c:pt>
                <c:pt idx="10">
                  <c:v>9.5000000000000001E-2</c:v>
                </c:pt>
                <c:pt idx="11">
                  <c:v>9.6121785799172826E-2</c:v>
                </c:pt>
                <c:pt idx="12">
                  <c:v>0.1</c:v>
                </c:pt>
                <c:pt idx="13">
                  <c:v>0.10199999999999999</c:v>
                </c:pt>
                <c:pt idx="14">
                  <c:v>0.1053</c:v>
                </c:pt>
                <c:pt idx="15">
                  <c:v>0.1091</c:v>
                </c:pt>
                <c:pt idx="16">
                  <c:v>0.1169</c:v>
                </c:pt>
                <c:pt idx="17">
                  <c:v>0.1226</c:v>
                </c:pt>
              </c:numCache>
            </c:numRef>
          </c:val>
        </c:ser>
        <c:ser>
          <c:idx val="1"/>
          <c:order val="1"/>
          <c:spPr>
            <a:solidFill>
              <a:schemeClr val="bg2"/>
            </a:solidFill>
          </c:spPr>
          <c:invertIfNegative val="0"/>
          <c:dLbls>
            <c:dLbl>
              <c:idx val="4"/>
              <c:tx>
                <c:rich>
                  <a:bodyPr/>
                  <a:lstStyle/>
                  <a:p>
                    <a:r>
                      <a:rPr lang="en-US"/>
                      <a:t>7,9%</a:t>
                    </a:r>
                  </a:p>
                </c:rich>
              </c:tx>
              <c:showLegendKey val="0"/>
              <c:showVal val="1"/>
              <c:showCatName val="0"/>
              <c:showSerName val="0"/>
              <c:showPercent val="0"/>
              <c:showBubbleSize val="0"/>
            </c:dLbl>
            <c:dLbl>
              <c:idx val="5"/>
              <c:layout>
                <c:manualLayout>
                  <c:x val="3.3032572196978201E-2"/>
                  <c:y val="0"/>
                </c:manualLayout>
              </c:layout>
              <c:tx>
                <c:rich>
                  <a:bodyPr/>
                  <a:lstStyle/>
                  <a:p>
                    <a:r>
                      <a:rPr lang="en-US"/>
                      <a:t>7.9%</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2014'!$AZ$57:$AZ$74</c:f>
              <c:strCache>
                <c:ptCount val="18"/>
                <c:pt idx="0">
                  <c:v>CH</c:v>
                </c:pt>
                <c:pt idx="1">
                  <c:v>DK</c:v>
                </c:pt>
                <c:pt idx="2">
                  <c:v>NL/Brattle</c:v>
                </c:pt>
                <c:pt idx="3">
                  <c:v>NL/Nera</c:v>
                </c:pt>
                <c:pt idx="4">
                  <c:v>FI</c:v>
                </c:pt>
                <c:pt idx="5">
                  <c:v>DE</c:v>
                </c:pt>
                <c:pt idx="6">
                  <c:v>SE</c:v>
                </c:pt>
                <c:pt idx="7">
                  <c:v>BIPT 2014</c:v>
                </c:pt>
                <c:pt idx="8">
                  <c:v>IE</c:v>
                </c:pt>
                <c:pt idx="9">
                  <c:v>IT</c:v>
                </c:pt>
                <c:pt idx="10">
                  <c:v>FR</c:v>
                </c:pt>
                <c:pt idx="11">
                  <c:v>BIPT 2010</c:v>
                </c:pt>
                <c:pt idx="12">
                  <c:v>UK</c:v>
                </c:pt>
                <c:pt idx="13">
                  <c:v>NO</c:v>
                </c:pt>
                <c:pt idx="14">
                  <c:v>AT</c:v>
                </c:pt>
                <c:pt idx="15">
                  <c:v>ES</c:v>
                </c:pt>
                <c:pt idx="16">
                  <c:v>PT</c:v>
                </c:pt>
                <c:pt idx="17">
                  <c:v>GR</c:v>
                </c:pt>
              </c:strCache>
            </c:strRef>
          </c:cat>
          <c:val>
            <c:numRef>
              <c:f>'FINAL BIPT &amp; Cullen 2014'!$BD$57:$BD$74</c:f>
              <c:numCache>
                <c:formatCode>0.0%</c:formatCode>
                <c:ptCount val="18"/>
                <c:pt idx="4">
                  <c:v>1.7000000000000001E-2</c:v>
                </c:pt>
              </c:numCache>
            </c:numRef>
          </c:val>
        </c:ser>
        <c:dLbls>
          <c:showLegendKey val="0"/>
          <c:showVal val="0"/>
          <c:showCatName val="0"/>
          <c:showSerName val="0"/>
          <c:showPercent val="0"/>
          <c:showBubbleSize val="0"/>
        </c:dLbls>
        <c:gapWidth val="72"/>
        <c:overlap val="100"/>
        <c:axId val="115951488"/>
        <c:axId val="115953024"/>
      </c:barChart>
      <c:catAx>
        <c:axId val="115951488"/>
        <c:scaling>
          <c:orientation val="minMax"/>
        </c:scaling>
        <c:delete val="0"/>
        <c:axPos val="l"/>
        <c:majorTickMark val="out"/>
        <c:minorTickMark val="none"/>
        <c:tickLblPos val="nextTo"/>
        <c:txPr>
          <a:bodyPr/>
          <a:lstStyle/>
          <a:p>
            <a:pPr>
              <a:defRPr sz="1200"/>
            </a:pPr>
            <a:endParaRPr lang="fr-FR"/>
          </a:p>
        </c:txPr>
        <c:crossAx val="115953024"/>
        <c:crosses val="autoZero"/>
        <c:auto val="1"/>
        <c:lblAlgn val="ctr"/>
        <c:lblOffset val="100"/>
        <c:noMultiLvlLbl val="0"/>
      </c:catAx>
      <c:valAx>
        <c:axId val="115953024"/>
        <c:scaling>
          <c:orientation val="minMax"/>
          <c:max val="0.12000000000000002"/>
        </c:scaling>
        <c:delete val="0"/>
        <c:axPos val="b"/>
        <c:majorGridlines>
          <c:spPr>
            <a:ln>
              <a:solidFill>
                <a:schemeClr val="bg1">
                  <a:lumMod val="50000"/>
                </a:schemeClr>
              </a:solidFill>
              <a:prstDash val="dash"/>
            </a:ln>
          </c:spPr>
        </c:majorGridlines>
        <c:numFmt formatCode="0%" sourceLinked="0"/>
        <c:majorTickMark val="out"/>
        <c:minorTickMark val="none"/>
        <c:tickLblPos val="nextTo"/>
        <c:txPr>
          <a:bodyPr/>
          <a:lstStyle/>
          <a:p>
            <a:pPr>
              <a:defRPr sz="1200"/>
            </a:pPr>
            <a:endParaRPr lang="fr-FR"/>
          </a:p>
        </c:txPr>
        <c:crossAx val="115951488"/>
        <c:crosses val="autoZero"/>
        <c:crossBetween val="between"/>
        <c:majorUnit val="1.0000000000000005E-2"/>
      </c:valAx>
    </c:plotArea>
    <c:plotVisOnly val="1"/>
    <c:dispBlanksAs val="gap"/>
    <c:showDLblsOverMax val="0"/>
  </c:chart>
  <c:spPr>
    <a:ln>
      <a:noFill/>
    </a:ln>
  </c:spPr>
  <c:txPr>
    <a:bodyPr/>
    <a:lstStyle/>
    <a:p>
      <a:pPr>
        <a:defRPr>
          <a:latin typeface="Arial" pitchFamily="34" charset="0"/>
          <a:cs typeface="Arial" pitchFamily="34" charset="0"/>
        </a:defRPr>
      </a:pPr>
      <a:endParaRPr lang="fr-FR"/>
    </a:p>
  </c:txPr>
  <c:printSettings>
    <c:headerFooter/>
    <c:pageMargins b="0.7500000000000131" l="0.70000000000000062" r="0.70000000000000062" t="0.750000000000013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82343045688098E-2"/>
          <c:y val="4.1662279819307833E-2"/>
          <c:w val="0.85472877059124863"/>
          <c:h val="0.86191049728934621"/>
        </c:manualLayout>
      </c:layout>
      <c:scatterChart>
        <c:scatterStyle val="lineMarker"/>
        <c:varyColors val="0"/>
        <c:ser>
          <c:idx val="0"/>
          <c:order val="0"/>
          <c:spPr>
            <a:ln w="28575">
              <a:noFill/>
            </a:ln>
          </c:spPr>
          <c:marker>
            <c:symbol val="circle"/>
            <c:size val="9"/>
            <c:spPr>
              <a:solidFill>
                <a:schemeClr val="bg2">
                  <a:lumMod val="90000"/>
                  <a:alpha val="50196"/>
                </a:schemeClr>
              </a:solidFill>
              <a:ln>
                <a:noFill/>
              </a:ln>
            </c:spPr>
          </c:marker>
          <c:dPt>
            <c:idx val="7"/>
            <c:marker>
              <c:symbol val="circle"/>
              <c:size val="12"/>
              <c:spPr>
                <a:solidFill>
                  <a:srgbClr val="FFC000">
                    <a:alpha val="50196"/>
                  </a:srgbClr>
                </a:solidFill>
                <a:ln>
                  <a:noFill/>
                </a:ln>
              </c:spPr>
            </c:marker>
            <c:bubble3D val="0"/>
          </c:dPt>
          <c:dPt>
            <c:idx val="11"/>
            <c:marker>
              <c:symbol val="circle"/>
              <c:size val="12"/>
              <c:spPr>
                <a:solidFill>
                  <a:schemeClr val="accent3">
                    <a:lumMod val="50000"/>
                    <a:alpha val="50196"/>
                  </a:schemeClr>
                </a:solidFill>
                <a:ln>
                  <a:noFill/>
                </a:ln>
              </c:spPr>
            </c:marker>
            <c:bubble3D val="0"/>
          </c:dPt>
          <c:dLbls>
            <c:dLbl>
              <c:idx val="0"/>
              <c:tx>
                <c:strRef>
                  <c:f>'FINAL BIPT &amp; Cullen 2014'!$AZ$57</c:f>
                  <c:strCache>
                    <c:ptCount val="1"/>
                    <c:pt idx="0">
                      <c:v>CH</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
              <c:tx>
                <c:strRef>
                  <c:f>'FINAL BIPT &amp; Cullen 2014'!$AZ$58</c:f>
                  <c:strCache>
                    <c:ptCount val="1"/>
                    <c:pt idx="0">
                      <c:v>DK</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2"/>
              <c:tx>
                <c:strRef>
                  <c:f>'FINAL BIPT &amp; Cullen 2014'!$AZ$59</c:f>
                  <c:strCache>
                    <c:ptCount val="1"/>
                    <c:pt idx="0">
                      <c:v>NL/Brattle</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3"/>
              <c:tx>
                <c:strRef>
                  <c:f>'FINAL BIPT &amp; Cullen 2014'!$AZ$60</c:f>
                  <c:strCache>
                    <c:ptCount val="1"/>
                    <c:pt idx="0">
                      <c:v>NL/Nera</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4"/>
              <c:tx>
                <c:strRef>
                  <c:f>'FINAL BIPT &amp; Cullen 2014'!$AZ$61</c:f>
                  <c:strCache>
                    <c:ptCount val="1"/>
                    <c:pt idx="0">
                      <c:v>FI</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5"/>
              <c:tx>
                <c:strRef>
                  <c:f>'FINAL BIPT &amp; Cullen 2014'!$AZ$62</c:f>
                  <c:strCache>
                    <c:ptCount val="1"/>
                    <c:pt idx="0">
                      <c:v>DE</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6"/>
              <c:tx>
                <c:strRef>
                  <c:f>'FINAL BIPT &amp; Cullen 2014'!$AZ$63</c:f>
                  <c:strCache>
                    <c:ptCount val="1"/>
                    <c:pt idx="0">
                      <c:v>SE</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7"/>
              <c:layout>
                <c:manualLayout>
                  <c:x val="-5.5365744937964333E-2"/>
                  <c:y val="8.3660123830158247E-3"/>
                </c:manualLayout>
              </c:layout>
              <c:tx>
                <c:strRef>
                  <c:f>'FINAL BIPT &amp; Cullen 2014'!$AZ$64</c:f>
                  <c:strCache>
                    <c:ptCount val="1"/>
                    <c:pt idx="0">
                      <c:v>BIPT 2014</c:v>
                    </c:pt>
                  </c:strCache>
                </c:strRef>
              </c:tx>
              <c:spPr/>
              <c:txPr>
                <a:bodyPr/>
                <a:lstStyle/>
                <a:p>
                  <a:pPr>
                    <a:defRPr sz="1200" b="0" i="0" strike="noStrike">
                      <a:latin typeface="Arial"/>
                    </a:defRPr>
                  </a:pPr>
                  <a:endParaRPr lang="fr-FR"/>
                </a:p>
              </c:txPr>
              <c:dLblPos val="r"/>
              <c:showLegendKey val="0"/>
              <c:showVal val="1"/>
              <c:showCatName val="0"/>
              <c:showSerName val="0"/>
              <c:showPercent val="0"/>
              <c:showBubbleSize val="0"/>
            </c:dLbl>
            <c:dLbl>
              <c:idx val="8"/>
              <c:tx>
                <c:strRef>
                  <c:f>'FINAL BIPT &amp; Cullen 2014'!$AZ$65</c:f>
                  <c:strCache>
                    <c:ptCount val="1"/>
                    <c:pt idx="0">
                      <c:v>IE</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9"/>
              <c:tx>
                <c:strRef>
                  <c:f>'FINAL BIPT &amp; Cullen 2014'!$AZ$66</c:f>
                  <c:strCache>
                    <c:ptCount val="1"/>
                    <c:pt idx="0">
                      <c:v>IT</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0"/>
              <c:tx>
                <c:strRef>
                  <c:f>'FINAL BIPT &amp; Cullen 2014'!$AZ$67</c:f>
                  <c:strCache>
                    <c:ptCount val="1"/>
                    <c:pt idx="0">
                      <c:v>FR</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1"/>
              <c:tx>
                <c:strRef>
                  <c:f>'FINAL BIPT &amp; Cullen 2014'!$AZ$68</c:f>
                  <c:strCache>
                    <c:ptCount val="1"/>
                    <c:pt idx="0">
                      <c:v>BIPT 2010</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2"/>
              <c:tx>
                <c:strRef>
                  <c:f>'FINAL BIPT &amp; Cullen 2014'!$AZ$69</c:f>
                  <c:strCache>
                    <c:ptCount val="1"/>
                    <c:pt idx="0">
                      <c:v>UK</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3"/>
              <c:tx>
                <c:strRef>
                  <c:f>'FINAL BIPT &amp; Cullen 2014'!$AZ$70</c:f>
                  <c:strCache>
                    <c:ptCount val="1"/>
                    <c:pt idx="0">
                      <c:v>NO</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4"/>
              <c:tx>
                <c:strRef>
                  <c:f>'FINAL BIPT &amp; Cullen 2014'!$AZ$71</c:f>
                  <c:strCache>
                    <c:ptCount val="1"/>
                    <c:pt idx="0">
                      <c:v>AT</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5"/>
              <c:tx>
                <c:strRef>
                  <c:f>'FINAL BIPT &amp; Cullen 2014'!$AZ$72</c:f>
                  <c:strCache>
                    <c:ptCount val="1"/>
                    <c:pt idx="0">
                      <c:v>ES</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6"/>
              <c:tx>
                <c:strRef>
                  <c:f>'FINAL BIPT &amp; Cullen 2014'!$AZ$73</c:f>
                  <c:strCache>
                    <c:ptCount val="1"/>
                    <c:pt idx="0">
                      <c:v>PT</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dLbl>
              <c:idx val="17"/>
              <c:tx>
                <c:strRef>
                  <c:f>'FINAL BIPT &amp; Cullen 2014'!$AZ$74</c:f>
                  <c:strCache>
                    <c:ptCount val="1"/>
                    <c:pt idx="0">
                      <c:v>GR</c:v>
                    </c:pt>
                  </c:strCache>
                </c:strRef>
              </c:tx>
              <c:spPr/>
              <c:txPr>
                <a:bodyPr/>
                <a:lstStyle/>
                <a:p>
                  <a:pPr>
                    <a:defRPr sz="1200" b="0" i="0" strike="noStrike">
                      <a:latin typeface="Arial"/>
                    </a:defRPr>
                  </a:pPr>
                  <a:endParaRPr lang="fr-FR"/>
                </a:p>
              </c:txPr>
              <c:dLblPos val="ctr"/>
              <c:showLegendKey val="0"/>
              <c:showVal val="1"/>
              <c:showCatName val="0"/>
              <c:showSerName val="0"/>
              <c:showPercent val="0"/>
              <c:showBubbleSize val="0"/>
            </c:dLbl>
            <c:txPr>
              <a:bodyPr/>
              <a:lstStyle/>
              <a:p>
                <a:pPr>
                  <a:defRPr sz="1200"/>
                </a:pPr>
                <a:endParaRPr lang="fr-FR"/>
              </a:p>
            </c:txPr>
            <c:showLegendKey val="0"/>
            <c:showVal val="1"/>
            <c:showCatName val="0"/>
            <c:showSerName val="0"/>
            <c:showPercent val="0"/>
            <c:showBubbleSize val="0"/>
            <c:showLeaderLines val="0"/>
          </c:dLbls>
          <c:xVal>
            <c:numRef>
              <c:f>'FINAL BIPT &amp; Cullen 2014'!$BA$57:$BA$74</c:f>
              <c:numCache>
                <c:formatCode>[$-809]mmmm\ yyyy;@</c:formatCode>
                <c:ptCount val="18"/>
                <c:pt idx="0">
                  <c:v>41609</c:v>
                </c:pt>
                <c:pt idx="1">
                  <c:v>41607</c:v>
                </c:pt>
                <c:pt idx="2">
                  <c:v>41348</c:v>
                </c:pt>
                <c:pt idx="3">
                  <c:v>41099</c:v>
                </c:pt>
                <c:pt idx="4">
                  <c:v>41761</c:v>
                </c:pt>
                <c:pt idx="5">
                  <c:v>41334</c:v>
                </c:pt>
                <c:pt idx="6">
                  <c:v>41624</c:v>
                </c:pt>
                <c:pt idx="7">
                  <c:v>41852</c:v>
                </c:pt>
                <c:pt idx="8">
                  <c:v>41740</c:v>
                </c:pt>
                <c:pt idx="9">
                  <c:v>41625</c:v>
                </c:pt>
                <c:pt idx="10">
                  <c:v>41303</c:v>
                </c:pt>
                <c:pt idx="11">
                  <c:v>40302</c:v>
                </c:pt>
                <c:pt idx="12">
                  <c:v>41778</c:v>
                </c:pt>
                <c:pt idx="13">
                  <c:v>40453</c:v>
                </c:pt>
                <c:pt idx="14">
                  <c:v>41547</c:v>
                </c:pt>
                <c:pt idx="15">
                  <c:v>41592</c:v>
                </c:pt>
                <c:pt idx="16">
                  <c:v>41621</c:v>
                </c:pt>
                <c:pt idx="17">
                  <c:v>41757</c:v>
                </c:pt>
              </c:numCache>
            </c:numRef>
          </c:xVal>
          <c:yVal>
            <c:numRef>
              <c:f>'FINAL BIPT &amp; Cullen 2014'!$BB$57:$BB$74</c:f>
              <c:numCache>
                <c:formatCode>0.0%</c:formatCode>
                <c:ptCount val="18"/>
                <c:pt idx="0">
                  <c:v>4.4600000000000001E-2</c:v>
                </c:pt>
                <c:pt idx="1">
                  <c:v>4.7E-2</c:v>
                </c:pt>
                <c:pt idx="2">
                  <c:v>6.2E-2</c:v>
                </c:pt>
                <c:pt idx="3">
                  <c:v>6.9917999999999925E-2</c:v>
                </c:pt>
                <c:pt idx="4">
                  <c:v>7.0500000000000007E-2</c:v>
                </c:pt>
                <c:pt idx="5">
                  <c:v>7.0699999999999999E-2</c:v>
                </c:pt>
                <c:pt idx="6">
                  <c:v>7.4999999999999997E-2</c:v>
                </c:pt>
                <c:pt idx="7">
                  <c:v>8.1349159833066037E-2</c:v>
                </c:pt>
                <c:pt idx="8">
                  <c:v>8.48E-2</c:v>
                </c:pt>
                <c:pt idx="9">
                  <c:v>9.3600000000000003E-2</c:v>
                </c:pt>
                <c:pt idx="10">
                  <c:v>9.5000000000000001E-2</c:v>
                </c:pt>
                <c:pt idx="11">
                  <c:v>9.6121785799172826E-2</c:v>
                </c:pt>
                <c:pt idx="12">
                  <c:v>0.1</c:v>
                </c:pt>
                <c:pt idx="13">
                  <c:v>0.10199999999999999</c:v>
                </c:pt>
                <c:pt idx="14">
                  <c:v>0.1053</c:v>
                </c:pt>
                <c:pt idx="15">
                  <c:v>0.1091</c:v>
                </c:pt>
                <c:pt idx="16">
                  <c:v>0.1169</c:v>
                </c:pt>
                <c:pt idx="17">
                  <c:v>0.1226</c:v>
                </c:pt>
              </c:numCache>
            </c:numRef>
          </c:yVal>
          <c:smooth val="0"/>
        </c:ser>
        <c:dLbls>
          <c:showLegendKey val="0"/>
          <c:showVal val="0"/>
          <c:showCatName val="0"/>
          <c:showSerName val="0"/>
          <c:showPercent val="0"/>
          <c:showBubbleSize val="0"/>
        </c:dLbls>
        <c:axId val="117096448"/>
        <c:axId val="117097984"/>
      </c:scatterChart>
      <c:valAx>
        <c:axId val="117096448"/>
        <c:scaling>
          <c:orientation val="minMax"/>
          <c:max val="42031"/>
          <c:min val="40185"/>
        </c:scaling>
        <c:delete val="0"/>
        <c:axPos val="b"/>
        <c:numFmt formatCode="mm/yyyy;@" sourceLinked="0"/>
        <c:majorTickMark val="out"/>
        <c:minorTickMark val="none"/>
        <c:tickLblPos val="nextTo"/>
        <c:crossAx val="117097984"/>
        <c:crosses val="autoZero"/>
        <c:crossBetween val="midCat"/>
        <c:majorUnit val="365"/>
      </c:valAx>
      <c:valAx>
        <c:axId val="117097984"/>
        <c:scaling>
          <c:orientation val="minMax"/>
        </c:scaling>
        <c:delete val="0"/>
        <c:axPos val="l"/>
        <c:majorGridlines>
          <c:spPr>
            <a:ln>
              <a:solidFill>
                <a:schemeClr val="bg1">
                  <a:lumMod val="50000"/>
                </a:schemeClr>
              </a:solidFill>
              <a:prstDash val="dash"/>
            </a:ln>
          </c:spPr>
        </c:majorGridlines>
        <c:numFmt formatCode="0%" sourceLinked="0"/>
        <c:majorTickMark val="out"/>
        <c:minorTickMark val="none"/>
        <c:tickLblPos val="nextTo"/>
        <c:spPr>
          <a:ln>
            <a:solidFill>
              <a:schemeClr val="bg1">
                <a:lumMod val="50000"/>
              </a:schemeClr>
            </a:solidFill>
          </a:ln>
        </c:spPr>
        <c:crossAx val="117096448"/>
        <c:crosses val="autoZero"/>
        <c:crossBetween val="midCat"/>
        <c:majorUnit val="1.0000000000000005E-2"/>
      </c:valAx>
      <c:spPr>
        <a:noFill/>
      </c:spPr>
    </c:plotArea>
    <c:plotVisOnly val="1"/>
    <c:dispBlanksAs val="gap"/>
    <c:showDLblsOverMax val="0"/>
  </c:chart>
  <c:spPr>
    <a:noFill/>
    <a:ln>
      <a:noFill/>
    </a:ln>
  </c:spPr>
  <c:txPr>
    <a:bodyPr/>
    <a:lstStyle/>
    <a:p>
      <a:pPr>
        <a:defRPr sz="1200">
          <a:latin typeface="Arial" pitchFamily="34" charset="0"/>
          <a:cs typeface="Arial" pitchFamily="34" charset="0"/>
        </a:defRPr>
      </a:pPr>
      <a:endParaRPr lang="fr-FR"/>
    </a:p>
  </c:txPr>
  <c:printSettings>
    <c:headerFooter/>
    <c:pageMargins b="0.7500000000000131" l="0.70000000000000062" r="0.70000000000000062" t="0.7500000000000131"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64869209221281"/>
          <c:y val="3.1927254310979231E-2"/>
          <c:w val="0.81512466978264397"/>
          <c:h val="0.87940685240695382"/>
        </c:manualLayout>
      </c:layout>
      <c:barChart>
        <c:barDir val="bar"/>
        <c:grouping val="stacked"/>
        <c:varyColors val="0"/>
        <c:ser>
          <c:idx val="0"/>
          <c:order val="0"/>
          <c:spPr>
            <a:solidFill>
              <a:schemeClr val="bg2">
                <a:lumMod val="90000"/>
              </a:schemeClr>
            </a:solidFill>
          </c:spPr>
          <c:invertIfNegative val="0"/>
          <c:dPt>
            <c:idx val="3"/>
            <c:invertIfNegative val="0"/>
            <c:bubble3D val="0"/>
            <c:spPr>
              <a:solidFill>
                <a:schemeClr val="bg2"/>
              </a:solidFill>
            </c:spPr>
          </c:dPt>
          <c:dPt>
            <c:idx val="7"/>
            <c:invertIfNegative val="0"/>
            <c:bubble3D val="0"/>
            <c:spPr>
              <a:solidFill>
                <a:srgbClr val="FFC000"/>
              </a:solidFill>
            </c:spPr>
          </c:dPt>
          <c:dPt>
            <c:idx val="11"/>
            <c:invertIfNegative val="0"/>
            <c:bubble3D val="0"/>
            <c:spPr>
              <a:solidFill>
                <a:schemeClr val="accent3">
                  <a:lumMod val="50000"/>
                </a:schemeClr>
              </a:solidFill>
            </c:spPr>
          </c:dPt>
          <c:dLbls>
            <c:dLbl>
              <c:idx val="5"/>
              <c:tx>
                <c:rich>
                  <a:bodyPr/>
                  <a:lstStyle/>
                  <a:p>
                    <a:r>
                      <a:rPr lang="en-US"/>
                      <a:t>6.1%</a:t>
                    </a:r>
                  </a:p>
                </c:rich>
              </c:tx>
              <c:showLegendKey val="0"/>
              <c:showVal val="1"/>
              <c:showCatName val="0"/>
              <c:showSerName val="0"/>
              <c:showPercent val="0"/>
              <c:showBubbleSize val="0"/>
            </c:dLbl>
            <c:dLbl>
              <c:idx val="6"/>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7"/>
              <c:spPr/>
              <c:txPr>
                <a:bodyPr/>
                <a:lstStyle/>
                <a:p>
                  <a:pPr>
                    <a:defRPr sz="1200">
                      <a:solidFill>
                        <a:sysClr val="windowText" lastClr="000000"/>
                      </a:solidFill>
                    </a:defRPr>
                  </a:pPr>
                  <a:endParaRPr lang="fr-FR"/>
                </a:p>
              </c:txPr>
              <c:showLegendKey val="0"/>
              <c:showVal val="1"/>
              <c:showCatName val="0"/>
              <c:showSerName val="0"/>
              <c:showPercent val="0"/>
              <c:showBubbleSize val="0"/>
            </c:dLbl>
            <c:dLbl>
              <c:idx val="10"/>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11"/>
              <c:spPr/>
              <c:txPr>
                <a:bodyPr/>
                <a:lstStyle/>
                <a:p>
                  <a:pPr>
                    <a:defRPr sz="1200">
                      <a:solidFill>
                        <a:schemeClr val="bg1"/>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2014'!$AZ$57:$AZ$74</c:f>
              <c:strCache>
                <c:ptCount val="18"/>
                <c:pt idx="0">
                  <c:v>CH</c:v>
                </c:pt>
                <c:pt idx="1">
                  <c:v>DK</c:v>
                </c:pt>
                <c:pt idx="2">
                  <c:v>NL/Brattle</c:v>
                </c:pt>
                <c:pt idx="3">
                  <c:v>NL/Nera</c:v>
                </c:pt>
                <c:pt idx="4">
                  <c:v>FI</c:v>
                </c:pt>
                <c:pt idx="5">
                  <c:v>DE</c:v>
                </c:pt>
                <c:pt idx="6">
                  <c:v>SE</c:v>
                </c:pt>
                <c:pt idx="7">
                  <c:v>BIPT 2014</c:v>
                </c:pt>
                <c:pt idx="8">
                  <c:v>IE</c:v>
                </c:pt>
                <c:pt idx="9">
                  <c:v>IT</c:v>
                </c:pt>
                <c:pt idx="10">
                  <c:v>FR</c:v>
                </c:pt>
                <c:pt idx="11">
                  <c:v>BIPT 2010</c:v>
                </c:pt>
                <c:pt idx="12">
                  <c:v>UK</c:v>
                </c:pt>
                <c:pt idx="13">
                  <c:v>NO</c:v>
                </c:pt>
                <c:pt idx="14">
                  <c:v>AT</c:v>
                </c:pt>
                <c:pt idx="15">
                  <c:v>ES</c:v>
                </c:pt>
                <c:pt idx="16">
                  <c:v>PT</c:v>
                </c:pt>
                <c:pt idx="17">
                  <c:v>GR</c:v>
                </c:pt>
              </c:strCache>
            </c:strRef>
          </c:cat>
          <c:val>
            <c:numRef>
              <c:f>'FINAL BIPT &amp; Cullen 2014'!$BC$57:$BC$74</c:f>
              <c:numCache>
                <c:formatCode>0.0%</c:formatCode>
                <c:ptCount val="18"/>
                <c:pt idx="0">
                  <c:v>4.4600000000000001E-2</c:v>
                </c:pt>
                <c:pt idx="1">
                  <c:v>4.7E-2</c:v>
                </c:pt>
                <c:pt idx="2">
                  <c:v>6.2E-2</c:v>
                </c:pt>
                <c:pt idx="3">
                  <c:v>6.9917999999999925E-2</c:v>
                </c:pt>
                <c:pt idx="4">
                  <c:v>6.2E-2</c:v>
                </c:pt>
                <c:pt idx="5">
                  <c:v>7.0699999999999999E-2</c:v>
                </c:pt>
                <c:pt idx="6">
                  <c:v>7.4999999999999997E-2</c:v>
                </c:pt>
                <c:pt idx="7">
                  <c:v>8.1349159833066037E-2</c:v>
                </c:pt>
                <c:pt idx="8">
                  <c:v>8.48E-2</c:v>
                </c:pt>
                <c:pt idx="9">
                  <c:v>9.3600000000000003E-2</c:v>
                </c:pt>
                <c:pt idx="10">
                  <c:v>9.5000000000000001E-2</c:v>
                </c:pt>
                <c:pt idx="11">
                  <c:v>9.6121785799172826E-2</c:v>
                </c:pt>
                <c:pt idx="12">
                  <c:v>0.1</c:v>
                </c:pt>
                <c:pt idx="13">
                  <c:v>0.10199999999999999</c:v>
                </c:pt>
                <c:pt idx="14">
                  <c:v>0.1053</c:v>
                </c:pt>
                <c:pt idx="15">
                  <c:v>0.1091</c:v>
                </c:pt>
                <c:pt idx="16">
                  <c:v>0.1169</c:v>
                </c:pt>
                <c:pt idx="17">
                  <c:v>0.1226</c:v>
                </c:pt>
              </c:numCache>
            </c:numRef>
          </c:val>
        </c:ser>
        <c:ser>
          <c:idx val="1"/>
          <c:order val="1"/>
          <c:spPr>
            <a:solidFill>
              <a:schemeClr val="bg2"/>
            </a:solidFill>
          </c:spPr>
          <c:invertIfNegative val="0"/>
          <c:dLbls>
            <c:dLbl>
              <c:idx val="4"/>
              <c:tx>
                <c:rich>
                  <a:bodyPr/>
                  <a:lstStyle/>
                  <a:p>
                    <a:r>
                      <a:rPr lang="en-US"/>
                      <a:t>7,9%</a:t>
                    </a:r>
                  </a:p>
                </c:rich>
              </c:tx>
              <c:showLegendKey val="0"/>
              <c:showVal val="1"/>
              <c:showCatName val="0"/>
              <c:showSerName val="0"/>
              <c:showPercent val="0"/>
              <c:showBubbleSize val="0"/>
            </c:dLbl>
            <c:dLbl>
              <c:idx val="5"/>
              <c:layout>
                <c:manualLayout>
                  <c:x val="3.3032572196978201E-2"/>
                  <c:y val="0"/>
                </c:manualLayout>
              </c:layout>
              <c:tx>
                <c:rich>
                  <a:bodyPr/>
                  <a:lstStyle/>
                  <a:p>
                    <a:r>
                      <a:rPr lang="en-US"/>
                      <a:t>7.9%</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2014'!$AZ$57:$AZ$74</c:f>
              <c:strCache>
                <c:ptCount val="18"/>
                <c:pt idx="0">
                  <c:v>CH</c:v>
                </c:pt>
                <c:pt idx="1">
                  <c:v>DK</c:v>
                </c:pt>
                <c:pt idx="2">
                  <c:v>NL/Brattle</c:v>
                </c:pt>
                <c:pt idx="3">
                  <c:v>NL/Nera</c:v>
                </c:pt>
                <c:pt idx="4">
                  <c:v>FI</c:v>
                </c:pt>
                <c:pt idx="5">
                  <c:v>DE</c:v>
                </c:pt>
                <c:pt idx="6">
                  <c:v>SE</c:v>
                </c:pt>
                <c:pt idx="7">
                  <c:v>BIPT 2014</c:v>
                </c:pt>
                <c:pt idx="8">
                  <c:v>IE</c:v>
                </c:pt>
                <c:pt idx="9">
                  <c:v>IT</c:v>
                </c:pt>
                <c:pt idx="10">
                  <c:v>FR</c:v>
                </c:pt>
                <c:pt idx="11">
                  <c:v>BIPT 2010</c:v>
                </c:pt>
                <c:pt idx="12">
                  <c:v>UK</c:v>
                </c:pt>
                <c:pt idx="13">
                  <c:v>NO</c:v>
                </c:pt>
                <c:pt idx="14">
                  <c:v>AT</c:v>
                </c:pt>
                <c:pt idx="15">
                  <c:v>ES</c:v>
                </c:pt>
                <c:pt idx="16">
                  <c:v>PT</c:v>
                </c:pt>
                <c:pt idx="17">
                  <c:v>GR</c:v>
                </c:pt>
              </c:strCache>
            </c:strRef>
          </c:cat>
          <c:val>
            <c:numRef>
              <c:f>'FINAL BIPT &amp; Cullen 2014'!$BD$57:$BD$74</c:f>
              <c:numCache>
                <c:formatCode>0.0%</c:formatCode>
                <c:ptCount val="18"/>
                <c:pt idx="4">
                  <c:v>1.7000000000000001E-2</c:v>
                </c:pt>
              </c:numCache>
            </c:numRef>
          </c:val>
        </c:ser>
        <c:dLbls>
          <c:showLegendKey val="0"/>
          <c:showVal val="0"/>
          <c:showCatName val="0"/>
          <c:showSerName val="0"/>
          <c:showPercent val="0"/>
          <c:showBubbleSize val="0"/>
        </c:dLbls>
        <c:gapWidth val="72"/>
        <c:overlap val="100"/>
        <c:axId val="117155328"/>
        <c:axId val="117156864"/>
      </c:barChart>
      <c:catAx>
        <c:axId val="117155328"/>
        <c:scaling>
          <c:orientation val="minMax"/>
        </c:scaling>
        <c:delete val="0"/>
        <c:axPos val="l"/>
        <c:majorTickMark val="out"/>
        <c:minorTickMark val="none"/>
        <c:tickLblPos val="nextTo"/>
        <c:txPr>
          <a:bodyPr/>
          <a:lstStyle/>
          <a:p>
            <a:pPr>
              <a:defRPr sz="1200"/>
            </a:pPr>
            <a:endParaRPr lang="fr-FR"/>
          </a:p>
        </c:txPr>
        <c:crossAx val="117156864"/>
        <c:crosses val="autoZero"/>
        <c:auto val="1"/>
        <c:lblAlgn val="ctr"/>
        <c:lblOffset val="100"/>
        <c:noMultiLvlLbl val="0"/>
      </c:catAx>
      <c:valAx>
        <c:axId val="117156864"/>
        <c:scaling>
          <c:orientation val="minMax"/>
          <c:max val="0.12000000000000002"/>
        </c:scaling>
        <c:delete val="0"/>
        <c:axPos val="b"/>
        <c:majorGridlines>
          <c:spPr>
            <a:ln>
              <a:solidFill>
                <a:schemeClr val="bg1">
                  <a:lumMod val="50000"/>
                </a:schemeClr>
              </a:solidFill>
              <a:prstDash val="dash"/>
            </a:ln>
          </c:spPr>
        </c:majorGridlines>
        <c:numFmt formatCode="0%" sourceLinked="0"/>
        <c:majorTickMark val="out"/>
        <c:minorTickMark val="none"/>
        <c:tickLblPos val="nextTo"/>
        <c:txPr>
          <a:bodyPr/>
          <a:lstStyle/>
          <a:p>
            <a:pPr>
              <a:defRPr sz="1200"/>
            </a:pPr>
            <a:endParaRPr lang="fr-FR"/>
          </a:p>
        </c:txPr>
        <c:crossAx val="117155328"/>
        <c:crosses val="autoZero"/>
        <c:crossBetween val="between"/>
        <c:majorUnit val="1.0000000000000005E-2"/>
      </c:valAx>
    </c:plotArea>
    <c:plotVisOnly val="1"/>
    <c:dispBlanksAs val="gap"/>
    <c:showDLblsOverMax val="0"/>
  </c:chart>
  <c:spPr>
    <a:ln>
      <a:noFill/>
    </a:ln>
  </c:spPr>
  <c:txPr>
    <a:bodyPr/>
    <a:lstStyle/>
    <a:p>
      <a:pPr>
        <a:defRPr>
          <a:latin typeface="Arial" pitchFamily="34" charset="0"/>
          <a:cs typeface="Arial" pitchFamily="34" charset="0"/>
        </a:defRPr>
      </a:pPr>
      <a:endParaRPr lang="fr-FR"/>
    </a:p>
  </c:txPr>
  <c:printSettings>
    <c:headerFooter/>
    <c:pageMargins b="0.75000000000001332" l="0.70000000000000062" r="0.70000000000000062" t="0.75000000000001332"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75795765252846"/>
          <c:y val="9.0768482770421689E-3"/>
          <c:w val="0.78266333514925757"/>
          <c:h val="0.90661272089816858"/>
        </c:manualLayout>
      </c:layout>
      <c:barChart>
        <c:barDir val="bar"/>
        <c:grouping val="stacked"/>
        <c:varyColors val="0"/>
        <c:ser>
          <c:idx val="0"/>
          <c:order val="0"/>
          <c:spPr>
            <a:solidFill>
              <a:schemeClr val="bg2">
                <a:lumMod val="90000"/>
              </a:schemeClr>
            </a:solidFill>
          </c:spPr>
          <c:invertIfNegative val="0"/>
          <c:dPt>
            <c:idx val="5"/>
            <c:invertIfNegative val="0"/>
            <c:bubble3D val="0"/>
            <c:spPr>
              <a:solidFill>
                <a:srgbClr val="C00000"/>
              </a:solidFill>
            </c:spPr>
          </c:dPt>
          <c:dPt>
            <c:idx val="8"/>
            <c:invertIfNegative val="0"/>
            <c:bubble3D val="0"/>
            <c:spPr>
              <a:solidFill>
                <a:schemeClr val="accent3">
                  <a:lumMod val="50000"/>
                </a:schemeClr>
              </a:solidFill>
            </c:spPr>
          </c:dPt>
          <c:dLbls>
            <c:dLbl>
              <c:idx val="4"/>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5"/>
              <c:spPr/>
              <c:txPr>
                <a:bodyPr/>
                <a:lstStyle/>
                <a:p>
                  <a:pPr>
                    <a:defRPr sz="1200">
                      <a:solidFill>
                        <a:schemeClr val="bg1"/>
                      </a:solidFill>
                    </a:defRPr>
                  </a:pPr>
                  <a:endParaRPr lang="fr-FR"/>
                </a:p>
              </c:txPr>
              <c:showLegendKey val="0"/>
              <c:showVal val="1"/>
              <c:showCatName val="0"/>
              <c:showSerName val="0"/>
              <c:showPercent val="0"/>
              <c:showBubbleSize val="0"/>
            </c:dLbl>
            <c:dLbl>
              <c:idx val="6"/>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8"/>
              <c:spPr/>
              <c:txPr>
                <a:bodyPr/>
                <a:lstStyle/>
                <a:p>
                  <a:pPr>
                    <a:defRPr sz="1200">
                      <a:solidFill>
                        <a:schemeClr val="bg1"/>
                      </a:solidFill>
                    </a:defRPr>
                  </a:pPr>
                  <a:endParaRPr lang="fr-FR"/>
                </a:p>
              </c:txPr>
              <c:showLegendKey val="0"/>
              <c:showVal val="1"/>
              <c:showCatName val="0"/>
              <c:showSerName val="0"/>
              <c:showPercent val="0"/>
              <c:showBubbleSize val="0"/>
            </c:dLbl>
            <c:dLbl>
              <c:idx val="10"/>
              <c:spPr/>
              <c:txPr>
                <a:bodyPr/>
                <a:lstStyle/>
                <a:p>
                  <a:pPr>
                    <a:defRPr sz="1000">
                      <a:solidFill>
                        <a:sysClr val="windowText" lastClr="000000"/>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2014'!$BP$57:$BP$72</c:f>
              <c:strCache>
                <c:ptCount val="16"/>
                <c:pt idx="0">
                  <c:v>DK</c:v>
                </c:pt>
                <c:pt idx="1">
                  <c:v>NL/Brattle</c:v>
                </c:pt>
                <c:pt idx="2">
                  <c:v>DE</c:v>
                </c:pt>
                <c:pt idx="3">
                  <c:v>FI</c:v>
                </c:pt>
                <c:pt idx="4">
                  <c:v>SE</c:v>
                </c:pt>
                <c:pt idx="5">
                  <c:v>BIPT 2014</c:v>
                </c:pt>
                <c:pt idx="6">
                  <c:v>IE</c:v>
                </c:pt>
                <c:pt idx="7">
                  <c:v>UK</c:v>
                </c:pt>
                <c:pt idx="8">
                  <c:v>BIPT 2010</c:v>
                </c:pt>
                <c:pt idx="9">
                  <c:v>ES</c:v>
                </c:pt>
                <c:pt idx="10">
                  <c:v>FR</c:v>
                </c:pt>
                <c:pt idx="11">
                  <c:v>IT</c:v>
                </c:pt>
                <c:pt idx="12">
                  <c:v>PT</c:v>
                </c:pt>
                <c:pt idx="13">
                  <c:v>AT</c:v>
                </c:pt>
                <c:pt idx="14">
                  <c:v>NO</c:v>
                </c:pt>
                <c:pt idx="15">
                  <c:v>GR</c:v>
                </c:pt>
              </c:strCache>
            </c:strRef>
          </c:cat>
          <c:val>
            <c:numRef>
              <c:f>'FINAL BIPT &amp; Cullen 2014'!$BS$57:$BS$72</c:f>
              <c:numCache>
                <c:formatCode>0.0%</c:formatCode>
                <c:ptCount val="16"/>
                <c:pt idx="0">
                  <c:v>4.4699999999999997E-2</c:v>
                </c:pt>
                <c:pt idx="1">
                  <c:v>6.7000000000000004E-2</c:v>
                </c:pt>
                <c:pt idx="2">
                  <c:v>7.0699999999999999E-2</c:v>
                </c:pt>
                <c:pt idx="3">
                  <c:v>7.0000000000000007E-2</c:v>
                </c:pt>
                <c:pt idx="4">
                  <c:v>7.8E-2</c:v>
                </c:pt>
                <c:pt idx="5">
                  <c:v>8.1314444978701092E-2</c:v>
                </c:pt>
                <c:pt idx="6">
                  <c:v>8.6599999999999996E-2</c:v>
                </c:pt>
                <c:pt idx="7">
                  <c:v>8.8999999999999996E-2</c:v>
                </c:pt>
                <c:pt idx="8">
                  <c:v>0.1004917173404925</c:v>
                </c:pt>
                <c:pt idx="9">
                  <c:v>9.2100000000000001E-2</c:v>
                </c:pt>
                <c:pt idx="10">
                  <c:v>0.104</c:v>
                </c:pt>
                <c:pt idx="11">
                  <c:v>0.104</c:v>
                </c:pt>
                <c:pt idx="12">
                  <c:v>0.111</c:v>
                </c:pt>
                <c:pt idx="13">
                  <c:v>0.1137</c:v>
                </c:pt>
                <c:pt idx="14">
                  <c:v>0.11799999999999999</c:v>
                </c:pt>
                <c:pt idx="15">
                  <c:v>0.1429</c:v>
                </c:pt>
              </c:numCache>
            </c:numRef>
          </c:val>
        </c:ser>
        <c:ser>
          <c:idx val="1"/>
          <c:order val="1"/>
          <c:spPr>
            <a:solidFill>
              <a:schemeClr val="bg2"/>
            </a:solidFill>
          </c:spPr>
          <c:invertIfNegative val="0"/>
          <c:dLbls>
            <c:dLbl>
              <c:idx val="3"/>
              <c:tx>
                <c:rich>
                  <a:bodyPr/>
                  <a:lstStyle/>
                  <a:p>
                    <a:r>
                      <a:rPr lang="en-US"/>
                      <a:t>8.3%</a:t>
                    </a:r>
                  </a:p>
                </c:rich>
              </c:tx>
              <c:showLegendKey val="0"/>
              <c:showVal val="1"/>
              <c:showCatName val="0"/>
              <c:showSerName val="0"/>
              <c:showPercent val="0"/>
              <c:showBubbleSize val="0"/>
            </c:dLbl>
            <c:dLbl>
              <c:idx val="7"/>
              <c:tx>
                <c:rich>
                  <a:bodyPr/>
                  <a:lstStyle/>
                  <a:p>
                    <a:r>
                      <a:rPr lang="en-US"/>
                      <a:t>10.5%</a:t>
                    </a:r>
                  </a:p>
                </c:rich>
              </c:tx>
              <c:showLegendKey val="0"/>
              <c:showVal val="1"/>
              <c:showCatName val="0"/>
              <c:showSerName val="0"/>
              <c:showPercent val="0"/>
              <c:showBubbleSize val="0"/>
            </c:dLbl>
            <c:dLbl>
              <c:idx val="9"/>
              <c:tx>
                <c:rich>
                  <a:bodyPr/>
                  <a:lstStyle/>
                  <a:p>
                    <a:r>
                      <a:rPr lang="en-US"/>
                      <a:t>10,9%</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2014'!$BP$57:$BP$72</c:f>
              <c:strCache>
                <c:ptCount val="16"/>
                <c:pt idx="0">
                  <c:v>DK</c:v>
                </c:pt>
                <c:pt idx="1">
                  <c:v>NL/Brattle</c:v>
                </c:pt>
                <c:pt idx="2">
                  <c:v>DE</c:v>
                </c:pt>
                <c:pt idx="3">
                  <c:v>FI</c:v>
                </c:pt>
                <c:pt idx="4">
                  <c:v>SE</c:v>
                </c:pt>
                <c:pt idx="5">
                  <c:v>BIPT 2014</c:v>
                </c:pt>
                <c:pt idx="6">
                  <c:v>IE</c:v>
                </c:pt>
                <c:pt idx="7">
                  <c:v>UK</c:v>
                </c:pt>
                <c:pt idx="8">
                  <c:v>BIPT 2010</c:v>
                </c:pt>
                <c:pt idx="9">
                  <c:v>ES</c:v>
                </c:pt>
                <c:pt idx="10">
                  <c:v>FR</c:v>
                </c:pt>
                <c:pt idx="11">
                  <c:v>IT</c:v>
                </c:pt>
                <c:pt idx="12">
                  <c:v>PT</c:v>
                </c:pt>
                <c:pt idx="13">
                  <c:v>AT</c:v>
                </c:pt>
                <c:pt idx="14">
                  <c:v>NO</c:v>
                </c:pt>
                <c:pt idx="15">
                  <c:v>GR</c:v>
                </c:pt>
              </c:strCache>
            </c:strRef>
          </c:cat>
          <c:val>
            <c:numRef>
              <c:f>'FINAL BIPT &amp; Cullen 2014'!$BT$57:$BT$71</c:f>
              <c:numCache>
                <c:formatCode>0.0%</c:formatCode>
                <c:ptCount val="15"/>
                <c:pt idx="3">
                  <c:v>1.2999999999999999E-2</c:v>
                </c:pt>
                <c:pt idx="9">
                  <c:v>1.6999999999999987E-2</c:v>
                </c:pt>
              </c:numCache>
            </c:numRef>
          </c:val>
        </c:ser>
        <c:dLbls>
          <c:showLegendKey val="0"/>
          <c:showVal val="0"/>
          <c:showCatName val="0"/>
          <c:showSerName val="0"/>
          <c:showPercent val="0"/>
          <c:showBubbleSize val="0"/>
        </c:dLbls>
        <c:gapWidth val="72"/>
        <c:overlap val="100"/>
        <c:axId val="120339840"/>
        <c:axId val="120349824"/>
      </c:barChart>
      <c:catAx>
        <c:axId val="120339840"/>
        <c:scaling>
          <c:orientation val="minMax"/>
        </c:scaling>
        <c:delete val="0"/>
        <c:axPos val="l"/>
        <c:majorTickMark val="out"/>
        <c:minorTickMark val="none"/>
        <c:tickLblPos val="nextTo"/>
        <c:txPr>
          <a:bodyPr/>
          <a:lstStyle/>
          <a:p>
            <a:pPr>
              <a:defRPr sz="1200"/>
            </a:pPr>
            <a:endParaRPr lang="fr-FR"/>
          </a:p>
        </c:txPr>
        <c:crossAx val="120349824"/>
        <c:crosses val="autoZero"/>
        <c:auto val="1"/>
        <c:lblAlgn val="ctr"/>
        <c:lblOffset val="100"/>
        <c:noMultiLvlLbl val="0"/>
      </c:catAx>
      <c:valAx>
        <c:axId val="120349824"/>
        <c:scaling>
          <c:orientation val="minMax"/>
          <c:max val="0.15000000000000024"/>
          <c:min val="0"/>
        </c:scaling>
        <c:delete val="0"/>
        <c:axPos val="b"/>
        <c:majorGridlines>
          <c:spPr>
            <a:ln>
              <a:solidFill>
                <a:schemeClr val="bg1">
                  <a:lumMod val="50000"/>
                </a:schemeClr>
              </a:solidFill>
              <a:prstDash val="dash"/>
            </a:ln>
          </c:spPr>
        </c:majorGridlines>
        <c:numFmt formatCode="0%" sourceLinked="0"/>
        <c:majorTickMark val="out"/>
        <c:minorTickMark val="cross"/>
        <c:tickLblPos val="nextTo"/>
        <c:txPr>
          <a:bodyPr/>
          <a:lstStyle/>
          <a:p>
            <a:pPr>
              <a:defRPr sz="1200"/>
            </a:pPr>
            <a:endParaRPr lang="fr-FR"/>
          </a:p>
        </c:txPr>
        <c:crossAx val="120339840"/>
        <c:crosses val="autoZero"/>
        <c:crossBetween val="between"/>
        <c:majorUnit val="1.0000000000000005E-2"/>
        <c:minorUnit val="1.0000000000000005E-2"/>
      </c:valAx>
    </c:plotArea>
    <c:plotVisOnly val="1"/>
    <c:dispBlanksAs val="gap"/>
    <c:showDLblsOverMax val="0"/>
  </c:chart>
  <c:spPr>
    <a:noFill/>
    <a:ln>
      <a:noFill/>
    </a:ln>
  </c:spPr>
  <c:txPr>
    <a:bodyPr/>
    <a:lstStyle/>
    <a:p>
      <a:pPr>
        <a:defRPr>
          <a:latin typeface="Arial" pitchFamily="34" charset="0"/>
          <a:cs typeface="Arial" pitchFamily="34" charset="0"/>
        </a:defRPr>
      </a:pPr>
      <a:endParaRPr lang="fr-FR"/>
    </a:p>
  </c:txPr>
  <c:printSettings>
    <c:headerFooter/>
    <c:pageMargins b="0.75000000000001354" l="0.70000000000000062" r="0.70000000000000062" t="0.75000000000001354"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chemeClr val="bg2">
                <a:lumMod val="90000"/>
              </a:schemeClr>
            </a:solidFill>
          </c:spPr>
          <c:invertIfNegative val="0"/>
          <c:dPt>
            <c:idx val="8"/>
            <c:invertIfNegative val="0"/>
            <c:bubble3D val="0"/>
            <c:spPr>
              <a:solidFill>
                <a:schemeClr val="accent3">
                  <a:lumMod val="50000"/>
                </a:schemeClr>
              </a:solidFill>
            </c:spPr>
          </c:dPt>
          <c:dLbls>
            <c:dLbl>
              <c:idx val="2"/>
              <c:layout>
                <c:manualLayout>
                  <c:x val="1.0775694198970639E-2"/>
                  <c:y val="2.8901740681294818E-3"/>
                </c:manualLayout>
              </c:layout>
              <c:showLegendKey val="0"/>
              <c:showVal val="1"/>
              <c:showCatName val="0"/>
              <c:showSerName val="0"/>
              <c:showPercent val="0"/>
              <c:showBubbleSize val="0"/>
            </c:dLbl>
            <c:dLbl>
              <c:idx val="3"/>
              <c:layout>
                <c:manualLayout>
                  <c:x val="8.6205214194477048E-3"/>
                  <c:y val="2.8901740681294818E-3"/>
                </c:manualLayout>
              </c:layout>
              <c:showLegendKey val="0"/>
              <c:showVal val="1"/>
              <c:showCatName val="0"/>
              <c:showSerName val="0"/>
              <c:showPercent val="0"/>
              <c:showBubbleSize val="0"/>
            </c:dLbl>
            <c:dLbl>
              <c:idx val="4"/>
              <c:layout>
                <c:manualLayout>
                  <c:x val="1.7220409693115505E-2"/>
                  <c:y val="2.8904506078084821E-3"/>
                </c:manualLayout>
              </c:layout>
              <c:spPr>
                <a:solidFill>
                  <a:srgbClr val="CC0000"/>
                </a:solidFill>
              </c:spPr>
              <c:txPr>
                <a:bodyPr/>
                <a:lstStyle/>
                <a:p>
                  <a:pPr>
                    <a:defRPr sz="1200">
                      <a:solidFill>
                        <a:schemeClr val="bg1"/>
                      </a:solidFill>
                    </a:defRPr>
                  </a:pPr>
                  <a:endParaRPr lang="fr-FR"/>
                </a:p>
              </c:txPr>
              <c:showLegendKey val="0"/>
              <c:showVal val="1"/>
              <c:showCatName val="0"/>
              <c:showSerName val="0"/>
              <c:showPercent val="0"/>
              <c:showBubbleSize val="0"/>
            </c:dLbl>
            <c:dLbl>
              <c:idx val="5"/>
              <c:layout>
                <c:manualLayout>
                  <c:x val="6.4467137850804041E-3"/>
                  <c:y val="0"/>
                </c:manualLayout>
              </c:layout>
              <c:showLegendKey val="0"/>
              <c:showVal val="1"/>
              <c:showCatName val="0"/>
              <c:showSerName val="0"/>
              <c:showPercent val="0"/>
              <c:showBubbleSize val="0"/>
            </c:dLbl>
            <c:dLbl>
              <c:idx val="6"/>
              <c:layout>
                <c:manualLayout>
                  <c:x val="6.5044417830950598E-3"/>
                  <c:y val="6.4555010782992332E-5"/>
                </c:manualLayout>
              </c:layout>
              <c:spPr/>
              <c:txPr>
                <a:bodyPr/>
                <a:lstStyle/>
                <a:p>
                  <a:pPr>
                    <a:defRPr sz="1000" b="0">
                      <a:solidFill>
                        <a:schemeClr val="tx1"/>
                      </a:solidFill>
                    </a:defRPr>
                  </a:pPr>
                  <a:endParaRPr lang="fr-FR"/>
                </a:p>
              </c:txPr>
              <c:showLegendKey val="0"/>
              <c:showVal val="1"/>
              <c:showCatName val="0"/>
              <c:showSerName val="0"/>
              <c:showPercent val="0"/>
              <c:showBubbleSize val="0"/>
            </c:dLbl>
            <c:dLbl>
              <c:idx val="7"/>
              <c:layout>
                <c:manualLayout>
                  <c:x val="0"/>
                  <c:y val="2.9704133646152554E-3"/>
                </c:manualLayout>
              </c:layout>
              <c:showLegendKey val="0"/>
              <c:showVal val="1"/>
              <c:showCatName val="0"/>
              <c:showSerName val="0"/>
              <c:showPercent val="0"/>
              <c:showBubbleSize val="0"/>
            </c:dLbl>
            <c:dLbl>
              <c:idx val="8"/>
              <c:spPr/>
              <c:txPr>
                <a:bodyPr/>
                <a:lstStyle/>
                <a:p>
                  <a:pPr>
                    <a:defRPr sz="1200">
                      <a:solidFill>
                        <a:schemeClr val="bg1"/>
                      </a:solidFill>
                    </a:defRPr>
                  </a:pPr>
                  <a:endParaRPr lang="fr-FR"/>
                </a:p>
              </c:txPr>
              <c:showLegendKey val="0"/>
              <c:showVal val="1"/>
              <c:showCatName val="0"/>
              <c:showSerName val="0"/>
              <c:showPercent val="0"/>
              <c:showBubbleSize val="0"/>
            </c:dLbl>
            <c:txPr>
              <a:bodyPr/>
              <a:lstStyle/>
              <a:p>
                <a:pPr>
                  <a:defRPr sz="1000">
                    <a:solidFill>
                      <a:sysClr val="windowText" lastClr="000000"/>
                    </a:solidFill>
                  </a:defRPr>
                </a:pPr>
                <a:endParaRPr lang="fr-FR"/>
              </a:p>
            </c:txPr>
            <c:showLegendKey val="0"/>
            <c:showVal val="1"/>
            <c:showCatName val="0"/>
            <c:showSerName val="0"/>
            <c:showPercent val="0"/>
            <c:showBubbleSize val="0"/>
            <c:showLeaderLines val="0"/>
          </c:dLbls>
          <c:cat>
            <c:strRef>
              <c:f>'FINAL BIPT &amp; Cullen 2014'!$CF$57:$CF$72</c:f>
              <c:strCache>
                <c:ptCount val="16"/>
                <c:pt idx="0">
                  <c:v>UK</c:v>
                </c:pt>
                <c:pt idx="1">
                  <c:v>ES</c:v>
                </c:pt>
                <c:pt idx="2">
                  <c:v>PT</c:v>
                </c:pt>
                <c:pt idx="3">
                  <c:v>DK</c:v>
                </c:pt>
                <c:pt idx="4">
                  <c:v>BIPT 2014</c:v>
                </c:pt>
                <c:pt idx="5">
                  <c:v>DE</c:v>
                </c:pt>
                <c:pt idx="6">
                  <c:v>IE</c:v>
                </c:pt>
                <c:pt idx="7">
                  <c:v>SE</c:v>
                </c:pt>
                <c:pt idx="8">
                  <c:v>BIPT 2010</c:v>
                </c:pt>
                <c:pt idx="9">
                  <c:v>NL/Brattle</c:v>
                </c:pt>
                <c:pt idx="10">
                  <c:v>FI</c:v>
                </c:pt>
                <c:pt idx="11">
                  <c:v>AT</c:v>
                </c:pt>
                <c:pt idx="12">
                  <c:v>FR</c:v>
                </c:pt>
                <c:pt idx="13">
                  <c:v>IT</c:v>
                </c:pt>
                <c:pt idx="14">
                  <c:v>NO</c:v>
                </c:pt>
                <c:pt idx="15">
                  <c:v>GR</c:v>
                </c:pt>
              </c:strCache>
            </c:strRef>
          </c:cat>
          <c:val>
            <c:numRef>
              <c:f>'FINAL BIPT &amp; Cullen 2014'!$CI$57:$CI$72</c:f>
              <c:numCache>
                <c:formatCode>0.0%</c:formatCode>
                <c:ptCount val="16"/>
                <c:pt idx="0">
                  <c:v>-1.100000000000001E-2</c:v>
                </c:pt>
                <c:pt idx="1">
                  <c:v>-8.5000000000000075E-3</c:v>
                </c:pt>
                <c:pt idx="2">
                  <c:v>-5.9000000000000025E-3</c:v>
                </c:pt>
                <c:pt idx="3">
                  <c:v>-2.3000000000000034E-3</c:v>
                </c:pt>
                <c:pt idx="4">
                  <c:v>-3.4714854364945036E-5</c:v>
                </c:pt>
                <c:pt idx="5">
                  <c:v>0</c:v>
                </c:pt>
                <c:pt idx="6">
                  <c:v>1.799999999999996E-3</c:v>
                </c:pt>
                <c:pt idx="7">
                  <c:v>3.0000000000000027E-3</c:v>
                </c:pt>
                <c:pt idx="8">
                  <c:v>4.3699315413196771E-3</c:v>
                </c:pt>
                <c:pt idx="9">
                  <c:v>5.0000000000000044E-3</c:v>
                </c:pt>
                <c:pt idx="10">
                  <c:v>6.0000000000000053E-3</c:v>
                </c:pt>
                <c:pt idx="11">
                  <c:v>8.3999999999999908E-3</c:v>
                </c:pt>
                <c:pt idx="12">
                  <c:v>8.9999999999999941E-3</c:v>
                </c:pt>
                <c:pt idx="13">
                  <c:v>1.0399999999999993E-2</c:v>
                </c:pt>
                <c:pt idx="14">
                  <c:v>1.6E-2</c:v>
                </c:pt>
                <c:pt idx="15">
                  <c:v>2.0299999999999999E-2</c:v>
                </c:pt>
              </c:numCache>
            </c:numRef>
          </c:val>
        </c:ser>
        <c:dLbls>
          <c:showLegendKey val="0"/>
          <c:showVal val="0"/>
          <c:showCatName val="0"/>
          <c:showSerName val="0"/>
          <c:showPercent val="0"/>
          <c:showBubbleSize val="0"/>
        </c:dLbls>
        <c:gapWidth val="72"/>
        <c:overlap val="100"/>
        <c:axId val="120384896"/>
        <c:axId val="120468608"/>
      </c:barChart>
      <c:catAx>
        <c:axId val="120384896"/>
        <c:scaling>
          <c:orientation val="minMax"/>
        </c:scaling>
        <c:delete val="0"/>
        <c:axPos val="l"/>
        <c:majorTickMark val="out"/>
        <c:minorTickMark val="none"/>
        <c:tickLblPos val="nextTo"/>
        <c:txPr>
          <a:bodyPr/>
          <a:lstStyle/>
          <a:p>
            <a:pPr>
              <a:defRPr sz="1100"/>
            </a:pPr>
            <a:endParaRPr lang="fr-FR"/>
          </a:p>
        </c:txPr>
        <c:crossAx val="120468608"/>
        <c:crosses val="autoZero"/>
        <c:auto val="1"/>
        <c:lblAlgn val="ctr"/>
        <c:lblOffset val="100"/>
        <c:noMultiLvlLbl val="0"/>
      </c:catAx>
      <c:valAx>
        <c:axId val="120468608"/>
        <c:scaling>
          <c:orientation val="minMax"/>
        </c:scaling>
        <c:delete val="0"/>
        <c:axPos val="b"/>
        <c:majorGridlines>
          <c:spPr>
            <a:ln>
              <a:solidFill>
                <a:schemeClr val="bg1">
                  <a:lumMod val="50000"/>
                </a:schemeClr>
              </a:solidFill>
              <a:prstDash val="dash"/>
            </a:ln>
          </c:spPr>
        </c:majorGridlines>
        <c:numFmt formatCode="0.0%" sourceLinked="0"/>
        <c:majorTickMark val="out"/>
        <c:minorTickMark val="none"/>
        <c:tickLblPos val="nextTo"/>
        <c:txPr>
          <a:bodyPr/>
          <a:lstStyle/>
          <a:p>
            <a:pPr>
              <a:defRPr sz="1100"/>
            </a:pPr>
            <a:endParaRPr lang="fr-FR"/>
          </a:p>
        </c:txPr>
        <c:crossAx val="120384896"/>
        <c:crosses val="autoZero"/>
        <c:crossBetween val="between"/>
      </c:valAx>
      <c:spPr>
        <a:noFill/>
      </c:spPr>
    </c:plotArea>
    <c:plotVisOnly val="1"/>
    <c:dispBlanksAs val="gap"/>
    <c:showDLblsOverMax val="0"/>
  </c:chart>
  <c:spPr>
    <a:noFill/>
    <a:ln>
      <a:noFill/>
    </a:ln>
  </c:spPr>
  <c:txPr>
    <a:bodyPr/>
    <a:lstStyle/>
    <a:p>
      <a:pPr>
        <a:defRPr>
          <a:latin typeface="Arial" pitchFamily="34" charset="0"/>
          <a:cs typeface="Arial" pitchFamily="34" charset="0"/>
        </a:defRPr>
      </a:pPr>
      <a:endParaRPr lang="fr-FR"/>
    </a:p>
  </c:txPr>
  <c:printSettings>
    <c:headerFooter/>
    <c:pageMargins b="0.75000000000001399" l="0.70000000000000062" r="0.70000000000000062" t="0.75000000000001399"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'FINAL BIPT &amp; Cullen 2014'!$AP$58</c:f>
              <c:strCache>
                <c:ptCount val="1"/>
                <c:pt idx="0">
                  <c:v>Low</c:v>
                </c:pt>
              </c:strCache>
            </c:strRef>
          </c:tx>
          <c:spPr>
            <a:noFill/>
          </c:spPr>
          <c:invertIfNegative val="0"/>
          <c:val>
            <c:numRef>
              <c:f>'FINAL BIPT &amp; Cullen 2014'!$AQ$58:$AT$58</c:f>
              <c:numCache>
                <c:formatCode>0.0%</c:formatCode>
                <c:ptCount val="4"/>
                <c:pt idx="0">
                  <c:v>4.4600000000000001E-2</c:v>
                </c:pt>
                <c:pt idx="1">
                  <c:v>4.4699999999999997E-2</c:v>
                </c:pt>
                <c:pt idx="2">
                  <c:v>7.6999999999999999E-2</c:v>
                </c:pt>
                <c:pt idx="3">
                  <c:v>9.69E-2</c:v>
                </c:pt>
              </c:numCache>
            </c:numRef>
          </c:val>
        </c:ser>
        <c:ser>
          <c:idx val="1"/>
          <c:order val="1"/>
          <c:tx>
            <c:strRef>
              <c:f>'FINAL BIPT &amp; Cullen 2014'!$AP$59</c:f>
              <c:strCache>
                <c:ptCount val="1"/>
                <c:pt idx="0">
                  <c:v>2014</c:v>
                </c:pt>
              </c:strCache>
            </c:strRef>
          </c:tx>
          <c:spPr>
            <a:solidFill>
              <a:schemeClr val="bg2">
                <a:lumMod val="90000"/>
              </a:schemeClr>
            </a:solidFill>
          </c:spPr>
          <c:invertIfNegative val="0"/>
          <c:val>
            <c:numRef>
              <c:f>'FINAL BIPT &amp; Cullen 2014'!$AQ$59:$AT$59</c:f>
              <c:numCache>
                <c:formatCode>0.0%</c:formatCode>
                <c:ptCount val="4"/>
                <c:pt idx="0">
                  <c:v>3.6749159833066036E-2</c:v>
                </c:pt>
                <c:pt idx="1">
                  <c:v>3.6614444978701095E-2</c:v>
                </c:pt>
                <c:pt idx="2">
                  <c:v>1.9121785799172827E-2</c:v>
                </c:pt>
                <c:pt idx="3">
                  <c:v>3.5917173404925035E-3</c:v>
                </c:pt>
              </c:numCache>
            </c:numRef>
          </c:val>
        </c:ser>
        <c:ser>
          <c:idx val="2"/>
          <c:order val="2"/>
          <c:tx>
            <c:strRef>
              <c:f>'FINAL BIPT &amp; Cullen 2014'!$AP$60</c:f>
              <c:strCache>
                <c:ptCount val="1"/>
                <c:pt idx="0">
                  <c:v>Average</c:v>
                </c:pt>
              </c:strCache>
            </c:strRef>
          </c:tx>
          <c:spPr>
            <a:solidFill>
              <a:schemeClr val="bg2">
                <a:lumMod val="75000"/>
              </a:schemeClr>
            </a:solidFill>
          </c:spPr>
          <c:invertIfNegative val="0"/>
          <c:val>
            <c:numRef>
              <c:f>'FINAL BIPT &amp; Cullen 2014'!$AQ$60:$AT$60</c:f>
              <c:numCache>
                <c:formatCode>0.0%</c:formatCode>
                <c:ptCount val="4"/>
                <c:pt idx="0">
                  <c:v>5.8522017793822684E-3</c:v>
                </c:pt>
                <c:pt idx="1">
                  <c:v>1.2498336177331731E-2</c:v>
                </c:pt>
                <c:pt idx="2">
                  <c:v>5.2938392008271828E-3</c:v>
                </c:pt>
                <c:pt idx="3">
                  <c:v>1.9665227103951924E-2</c:v>
                </c:pt>
              </c:numCache>
            </c:numRef>
          </c:val>
        </c:ser>
        <c:ser>
          <c:idx val="3"/>
          <c:order val="3"/>
          <c:tx>
            <c:strRef>
              <c:f>'FINAL BIPT &amp; Cullen 2014'!$AP$61</c:f>
              <c:strCache>
                <c:ptCount val="1"/>
                <c:pt idx="0">
                  <c:v>Median</c:v>
                </c:pt>
              </c:strCache>
            </c:strRef>
          </c:tx>
          <c:spPr>
            <a:solidFill>
              <a:schemeClr val="bg2">
                <a:lumMod val="50000"/>
              </a:schemeClr>
            </a:solidFill>
          </c:spPr>
          <c:invertIfNegative val="0"/>
          <c:val>
            <c:numRef>
              <c:f>'FINAL BIPT &amp; Cullen 2014'!$AQ$61:$AT$61</c:f>
              <c:numCache>
                <c:formatCode>0.0%</c:formatCode>
                <c:ptCount val="4"/>
                <c:pt idx="0">
                  <c:v>7.0986383875516895E-3</c:v>
                </c:pt>
                <c:pt idx="1">
                  <c:v>6.6789361844596801E-3</c:v>
                </c:pt>
                <c:pt idx="2">
                  <c:v>9.0937499999999005E-4</c:v>
                </c:pt>
                <c:pt idx="3">
                  <c:v>-5.6944444444428921E-5</c:v>
                </c:pt>
              </c:numCache>
            </c:numRef>
          </c:val>
        </c:ser>
        <c:ser>
          <c:idx val="4"/>
          <c:order val="4"/>
          <c:tx>
            <c:v>Previous</c:v>
          </c:tx>
          <c:spPr>
            <a:solidFill>
              <a:schemeClr val="bg2">
                <a:lumMod val="75000"/>
              </a:schemeClr>
            </a:solidFill>
          </c:spPr>
          <c:invertIfNegative val="0"/>
          <c:val>
            <c:numRef>
              <c:f>'FINAL BIPT &amp; Cullen 2014'!$AQ$62:$AT$62</c:f>
              <c:numCache>
                <c:formatCode>0.0%</c:formatCode>
                <c:ptCount val="4"/>
                <c:pt idx="0">
                  <c:v>1.8217857991728315E-3</c:v>
                </c:pt>
                <c:pt idx="1">
                  <c:v>0</c:v>
                </c:pt>
                <c:pt idx="2">
                  <c:v>9.675000000000003E-3</c:v>
                </c:pt>
                <c:pt idx="3">
                  <c:v>2.2999999999999965E-3</c:v>
                </c:pt>
              </c:numCache>
            </c:numRef>
          </c:val>
        </c:ser>
        <c:ser>
          <c:idx val="5"/>
          <c:order val="5"/>
          <c:tx>
            <c:strRef>
              <c:f>'FINAL BIPT &amp; Cullen 2014'!$AP$63</c:f>
              <c:strCache>
                <c:ptCount val="1"/>
                <c:pt idx="0">
                  <c:v>High</c:v>
                </c:pt>
              </c:strCache>
            </c:strRef>
          </c:tx>
          <c:spPr>
            <a:solidFill>
              <a:schemeClr val="bg2">
                <a:lumMod val="90000"/>
              </a:schemeClr>
            </a:solidFill>
          </c:spPr>
          <c:invertIfNegative val="0"/>
          <c:val>
            <c:numRef>
              <c:f>'FINAL BIPT &amp; Cullen 2014'!$AQ$63:$AT$63</c:f>
              <c:numCache>
                <c:formatCode>0.0%</c:formatCode>
                <c:ptCount val="4"/>
                <c:pt idx="0">
                  <c:v>2.6478214200827174E-2</c:v>
                </c:pt>
                <c:pt idx="1">
                  <c:v>4.2408282659507496E-2</c:v>
                </c:pt>
                <c:pt idx="2">
                  <c:v>2.0000000000000004E-2</c:v>
                </c:pt>
                <c:pt idx="3">
                  <c:v>2.5700000000000014E-2</c:v>
                </c:pt>
              </c:numCache>
            </c:numRef>
          </c:val>
        </c:ser>
        <c:dLbls>
          <c:showLegendKey val="0"/>
          <c:showVal val="0"/>
          <c:showCatName val="0"/>
          <c:showSerName val="0"/>
          <c:showPercent val="0"/>
          <c:showBubbleSize val="0"/>
        </c:dLbls>
        <c:gapWidth val="63"/>
        <c:overlap val="100"/>
        <c:axId val="120517760"/>
        <c:axId val="120519296"/>
      </c:barChart>
      <c:catAx>
        <c:axId val="120517760"/>
        <c:scaling>
          <c:orientation val="minMax"/>
        </c:scaling>
        <c:delete val="1"/>
        <c:axPos val="l"/>
        <c:numFmt formatCode="General" sourceLinked="1"/>
        <c:majorTickMark val="out"/>
        <c:minorTickMark val="none"/>
        <c:tickLblPos val="none"/>
        <c:crossAx val="120519296"/>
        <c:crosses val="autoZero"/>
        <c:auto val="1"/>
        <c:lblAlgn val="ctr"/>
        <c:lblOffset val="100"/>
        <c:noMultiLvlLbl val="0"/>
      </c:catAx>
      <c:valAx>
        <c:axId val="120519296"/>
        <c:scaling>
          <c:orientation val="minMax"/>
          <c:max val="0.15000000000000024"/>
          <c:min val="0.05"/>
        </c:scaling>
        <c:delete val="0"/>
        <c:axPos val="b"/>
        <c:majorGridlines>
          <c:spPr>
            <a:ln>
              <a:solidFill>
                <a:schemeClr val="bg1">
                  <a:lumMod val="50000"/>
                </a:schemeClr>
              </a:solidFill>
              <a:prstDash val="dash"/>
            </a:ln>
          </c:spPr>
        </c:majorGridlines>
        <c:numFmt formatCode="0%" sourceLinked="0"/>
        <c:majorTickMark val="out"/>
        <c:minorTickMark val="none"/>
        <c:tickLblPos val="nextTo"/>
        <c:spPr>
          <a:ln>
            <a:solidFill>
              <a:schemeClr val="bg1">
                <a:lumMod val="50000"/>
              </a:schemeClr>
            </a:solidFill>
          </a:ln>
        </c:spPr>
        <c:crossAx val="120517760"/>
        <c:crosses val="autoZero"/>
        <c:crossBetween val="between"/>
        <c:majorUnit val="1.0000000000000005E-2"/>
      </c:valAx>
      <c:spPr>
        <a:noFill/>
      </c:spPr>
    </c:plotArea>
    <c:plotVisOnly val="1"/>
    <c:dispBlanksAs val="gap"/>
    <c:showDLblsOverMax val="0"/>
  </c:chart>
  <c:spPr>
    <a:noFill/>
    <a:ln>
      <a:noFill/>
    </a:ln>
  </c:spPr>
  <c:txPr>
    <a:bodyPr/>
    <a:lstStyle/>
    <a:p>
      <a:pPr>
        <a:defRPr>
          <a:latin typeface="Arial" pitchFamily="34" charset="0"/>
          <a:cs typeface="Arial" pitchFamily="34" charset="0"/>
        </a:defRPr>
      </a:pPr>
      <a:endParaRPr lang="fr-FR"/>
    </a:p>
  </c:txPr>
  <c:printSettings>
    <c:headerFooter/>
    <c:pageMargins b="0.7500000000000131" l="0.70000000000000062" r="0.70000000000000062" t="0.7500000000000131"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b="1"/>
          </a:pPr>
          <a:endParaRPr lang="fr-FR"/>
        </a:p>
      </c:txPr>
    </c:title>
    <c:autoTitleDeleted val="0"/>
    <c:plotArea>
      <c:layout/>
      <c:barChart>
        <c:barDir val="bar"/>
        <c:grouping val="clustered"/>
        <c:varyColors val="0"/>
        <c:ser>
          <c:idx val="0"/>
          <c:order val="0"/>
          <c:tx>
            <c:strRef>
              <c:f>'(Cullen 2010 Fixed)'!$A$1</c:f>
              <c:strCache>
                <c:ptCount val="1"/>
                <c:pt idx="0">
                  <c:v>WACC fixe nominal avant impôts</c:v>
                </c:pt>
              </c:strCache>
            </c:strRef>
          </c:tx>
          <c:spPr>
            <a:solidFill>
              <a:srgbClr val="002060"/>
            </a:solidFill>
          </c:spPr>
          <c:invertIfNegative val="0"/>
          <c:dPt>
            <c:idx val="5"/>
            <c:invertIfNegative val="0"/>
            <c:bubble3D val="0"/>
            <c:spPr>
              <a:solidFill>
                <a:srgbClr val="FFFF00"/>
              </a:solidFill>
            </c:spPr>
          </c:dPt>
          <c:dPt>
            <c:idx val="14"/>
            <c:invertIfNegative val="0"/>
            <c:bubble3D val="0"/>
            <c:spPr>
              <a:solidFill>
                <a:srgbClr val="C00000"/>
              </a:solidFill>
            </c:spPr>
          </c:dPt>
          <c:dLbls>
            <c:showLegendKey val="0"/>
            <c:showVal val="1"/>
            <c:showCatName val="0"/>
            <c:showSerName val="0"/>
            <c:showPercent val="0"/>
            <c:showBubbleSize val="0"/>
            <c:showLeaderLines val="0"/>
          </c:dLbls>
          <c:cat>
            <c:strRef>
              <c:f>'(Cullen 2010 Fixed)'!$A$4:$A$20</c:f>
              <c:strCache>
                <c:ptCount val="17"/>
                <c:pt idx="0">
                  <c:v>Danemark 2009</c:v>
                </c:pt>
                <c:pt idx="1">
                  <c:v>Suisse 2008*</c:v>
                </c:pt>
                <c:pt idx="2">
                  <c:v>Allemagne 2009**</c:v>
                </c:pt>
                <c:pt idx="3">
                  <c:v>Pays-Bas 2010</c:v>
                </c:pt>
                <c:pt idx="4">
                  <c:v>Suède 2008</c:v>
                </c:pt>
                <c:pt idx="5">
                  <c:v>Belgique 2010</c:v>
                </c:pt>
                <c:pt idx="6">
                  <c:v>R.U. BL BT 2009</c:v>
                </c:pt>
                <c:pt idx="7">
                  <c:v>Italie 2006</c:v>
                </c:pt>
                <c:pt idx="8">
                  <c:v>Irlande 2008</c:v>
                </c:pt>
                <c:pt idx="9">
                  <c:v>Finlande 2009***</c:v>
                </c:pt>
                <c:pt idx="10">
                  <c:v>France 2010</c:v>
                </c:pt>
                <c:pt idx="11">
                  <c:v>Grèce 2006</c:v>
                </c:pt>
                <c:pt idx="12">
                  <c:v>Autriche 2009</c:v>
                </c:pt>
                <c:pt idx="13">
                  <c:v>Espagne 2009</c:v>
                </c:pt>
                <c:pt idx="14">
                  <c:v>Belgique 2008</c:v>
                </c:pt>
                <c:pt idx="15">
                  <c:v>Norvège 2008</c:v>
                </c:pt>
                <c:pt idx="16">
                  <c:v>Portugal (n.d.)</c:v>
                </c:pt>
              </c:strCache>
            </c:strRef>
          </c:cat>
          <c:val>
            <c:numRef>
              <c:f>'(Cullen 2010 Fixed)'!$B$4:$B$20</c:f>
              <c:numCache>
                <c:formatCode>0.0%</c:formatCode>
                <c:ptCount val="17"/>
                <c:pt idx="0" formatCode="0.00%">
                  <c:v>7.6999999999999999E-2</c:v>
                </c:pt>
                <c:pt idx="1">
                  <c:v>8.2000000000000003E-2</c:v>
                </c:pt>
                <c:pt idx="2" formatCode="0.00%">
                  <c:v>8.5900000000000004E-2</c:v>
                </c:pt>
                <c:pt idx="3" formatCode="0.00%">
                  <c:v>8.6900000000000005E-2</c:v>
                </c:pt>
                <c:pt idx="4" formatCode="0.00%">
                  <c:v>9.1999999999999998E-2</c:v>
                </c:pt>
                <c:pt idx="5" formatCode="0.00%">
                  <c:v>9.6100000000000005E-2</c:v>
                </c:pt>
                <c:pt idx="6" formatCode="0.00%">
                  <c:v>0.10100000000000001</c:v>
                </c:pt>
                <c:pt idx="7" formatCode="0.00%">
                  <c:v>0.10199999999999999</c:v>
                </c:pt>
                <c:pt idx="8" formatCode="0.00%">
                  <c:v>0.1021</c:v>
                </c:pt>
                <c:pt idx="9" formatCode="0.00%">
                  <c:v>0.10255</c:v>
                </c:pt>
                <c:pt idx="10" formatCode="0.00%">
                  <c:v>0.104</c:v>
                </c:pt>
                <c:pt idx="11" formatCode="0.00%">
                  <c:v>0.104</c:v>
                </c:pt>
                <c:pt idx="12" formatCode="0.00%">
                  <c:v>0.1048</c:v>
                </c:pt>
                <c:pt idx="13" formatCode="0.00%">
                  <c:v>0.1094</c:v>
                </c:pt>
                <c:pt idx="14" formatCode="0.00%">
                  <c:v>0.112</c:v>
                </c:pt>
                <c:pt idx="15" formatCode="0.00%">
                  <c:v>0.125</c:v>
                </c:pt>
                <c:pt idx="16" formatCode="0.00%">
                  <c:v>0.13200000000000001</c:v>
                </c:pt>
              </c:numCache>
            </c:numRef>
          </c:val>
        </c:ser>
        <c:dLbls>
          <c:showLegendKey val="0"/>
          <c:showVal val="0"/>
          <c:showCatName val="0"/>
          <c:showSerName val="0"/>
          <c:showPercent val="0"/>
          <c:showBubbleSize val="0"/>
        </c:dLbls>
        <c:gapWidth val="150"/>
        <c:axId val="115718400"/>
        <c:axId val="115732480"/>
      </c:barChart>
      <c:catAx>
        <c:axId val="115718400"/>
        <c:scaling>
          <c:orientation val="maxMin"/>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115732480"/>
        <c:crosses val="autoZero"/>
        <c:auto val="1"/>
        <c:lblAlgn val="ctr"/>
        <c:lblOffset val="100"/>
        <c:noMultiLvlLbl val="0"/>
      </c:catAx>
      <c:valAx>
        <c:axId val="115732480"/>
        <c:scaling>
          <c:orientation val="minMax"/>
        </c:scaling>
        <c:delete val="0"/>
        <c:axPos val="t"/>
        <c:majorGridlines/>
        <c:numFmt formatCode="0%"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115718400"/>
        <c:crosses val="autoZero"/>
        <c:crossBetween val="between"/>
      </c:valAx>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218242345048745"/>
          <c:y val="1.1523291621801835E-2"/>
          <c:w val="0.76777499790496673"/>
          <c:h val="0.87577295017205692"/>
        </c:manualLayout>
      </c:layout>
      <c:barChart>
        <c:barDir val="bar"/>
        <c:grouping val="stacked"/>
        <c:varyColors val="0"/>
        <c:ser>
          <c:idx val="0"/>
          <c:order val="0"/>
          <c:tx>
            <c:strRef>
              <c:f>'(Cullen 2010 Fixed)'!$L$3</c:f>
              <c:strCache>
                <c:ptCount val="1"/>
                <c:pt idx="0">
                  <c:v>Ecart</c:v>
                </c:pt>
              </c:strCache>
            </c:strRef>
          </c:tx>
          <c:spPr>
            <a:solidFill>
              <a:srgbClr val="002060"/>
            </a:solidFill>
          </c:spPr>
          <c:invertIfNegative val="0"/>
          <c:dPt>
            <c:idx val="0"/>
            <c:invertIfNegative val="0"/>
            <c:bubble3D val="0"/>
            <c:spPr>
              <a:solidFill>
                <a:srgbClr val="FFFF00"/>
              </a:solidFill>
            </c:spPr>
          </c:dPt>
          <c:dLbls>
            <c:dLbl>
              <c:idx val="0"/>
              <c:layout>
                <c:manualLayout>
                  <c:x val="0.23276277384644994"/>
                  <c:y val="2.6506574808622692E-6"/>
                </c:manualLayout>
              </c:layout>
              <c:showLegendKey val="0"/>
              <c:showVal val="1"/>
              <c:showCatName val="0"/>
              <c:showSerName val="0"/>
              <c:showPercent val="0"/>
              <c:showBubbleSize val="0"/>
            </c:dLbl>
            <c:dLbl>
              <c:idx val="1"/>
              <c:layout>
                <c:manualLayout>
                  <c:x val="0.18626709339541186"/>
                  <c:y val="-4.0234035384510303E-3"/>
                </c:manualLayout>
              </c:layout>
              <c:showLegendKey val="0"/>
              <c:showVal val="1"/>
              <c:showCatName val="0"/>
              <c:showSerName val="0"/>
              <c:showPercent val="0"/>
              <c:showBubbleSize val="0"/>
            </c:dLbl>
            <c:dLbl>
              <c:idx val="2"/>
              <c:layout>
                <c:manualLayout>
                  <c:x val="0.16449981545661391"/>
                  <c:y val="-2.830313154565141E-4"/>
                </c:manualLayout>
              </c:layout>
              <c:showLegendKey val="0"/>
              <c:showVal val="1"/>
              <c:showCatName val="0"/>
              <c:showSerName val="0"/>
              <c:showPercent val="0"/>
              <c:showBubbleSize val="0"/>
            </c:dLbl>
            <c:dLbl>
              <c:idx val="3"/>
              <c:layout>
                <c:manualLayout>
                  <c:x val="0.12348080697378662"/>
                  <c:y val="3.1719534520985092E-3"/>
                </c:manualLayout>
              </c:layout>
              <c:showLegendKey val="0"/>
              <c:showVal val="1"/>
              <c:showCatName val="0"/>
              <c:showSerName val="0"/>
              <c:showPercent val="0"/>
              <c:showBubbleSize val="0"/>
            </c:dLbl>
            <c:dLbl>
              <c:idx val="4"/>
              <c:layout>
                <c:manualLayout>
                  <c:x val="0.10373003821436025"/>
                  <c:y val="-7.4789773410019909E-3"/>
                </c:manualLayout>
              </c:layout>
              <c:showLegendKey val="0"/>
              <c:showVal val="1"/>
              <c:showCatName val="0"/>
              <c:showSerName val="0"/>
              <c:showPercent val="0"/>
              <c:showBubbleSize val="0"/>
            </c:dLbl>
            <c:dLbl>
              <c:idx val="5"/>
              <c:layout>
                <c:manualLayout>
                  <c:x val="0.1050408617096634"/>
                  <c:y val="1.4725874893679966E-6"/>
                </c:manualLayout>
              </c:layout>
              <c:showLegendKey val="0"/>
              <c:showVal val="1"/>
              <c:showCatName val="0"/>
              <c:showSerName val="0"/>
              <c:showPercent val="0"/>
              <c:showBubbleSize val="0"/>
            </c:dLbl>
            <c:dLbl>
              <c:idx val="6"/>
              <c:layout>
                <c:manualLayout>
                  <c:x val="-6.1079440016202795E-2"/>
                  <c:y val="-1.1221116668983988E-2"/>
                </c:manualLayout>
              </c:layout>
              <c:showLegendKey val="0"/>
              <c:showVal val="1"/>
              <c:showCatName val="0"/>
              <c:showSerName val="0"/>
              <c:showPercent val="0"/>
              <c:showBubbleSize val="0"/>
            </c:dLbl>
            <c:dLbl>
              <c:idx val="7"/>
              <c:layout>
                <c:manualLayout>
                  <c:x val="-7.8340980660469975E-2"/>
                  <c:y val="-2.9451749787360653E-7"/>
                </c:manualLayout>
              </c:layout>
              <c:showLegendKey val="0"/>
              <c:showVal val="1"/>
              <c:showCatName val="0"/>
              <c:showSerName val="0"/>
              <c:showPercent val="0"/>
              <c:showBubbleSize val="0"/>
            </c:dLbl>
            <c:dLbl>
              <c:idx val="8"/>
              <c:layout>
                <c:manualLayout>
                  <c:x val="-0.10706600690264514"/>
                  <c:y val="-2.9451749787788712E-7"/>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'(Cullen 2010 Fixed)'!$O$4:$O$12</c:f>
              <c:strCache>
                <c:ptCount val="9"/>
                <c:pt idx="0">
                  <c:v>Belgique  2010-2008</c:v>
                </c:pt>
                <c:pt idx="1">
                  <c:v>Pays-Bas  2010-2006</c:v>
                </c:pt>
                <c:pt idx="2">
                  <c:v>Allemagne** 2009-2007</c:v>
                </c:pt>
                <c:pt idx="3">
                  <c:v>Suisse * 2009-2008</c:v>
                </c:pt>
                <c:pt idx="4">
                  <c:v>Danemark  2009-2008</c:v>
                </c:pt>
                <c:pt idx="5">
                  <c:v>France 2010-2008</c:v>
                </c:pt>
                <c:pt idx="6">
                  <c:v>R.U. BL BT 2009-2005</c:v>
                </c:pt>
                <c:pt idx="7">
                  <c:v>Espagne  2009-2008</c:v>
                </c:pt>
                <c:pt idx="8">
                  <c:v>Finlande*** 2009-2008</c:v>
                </c:pt>
              </c:strCache>
            </c:strRef>
          </c:cat>
          <c:val>
            <c:numRef>
              <c:f>'(Cullen 2010 Fixed)'!$L$4:$L$12</c:f>
              <c:numCache>
                <c:formatCode>0.00%</c:formatCode>
                <c:ptCount val="9"/>
                <c:pt idx="0">
                  <c:v>-1.5899999999999997E-2</c:v>
                </c:pt>
                <c:pt idx="1">
                  <c:v>-1.1099999999999999E-2</c:v>
                </c:pt>
                <c:pt idx="2">
                  <c:v>-8.8000000000000023E-3</c:v>
                </c:pt>
                <c:pt idx="3">
                  <c:v>-5.499999999999991E-3</c:v>
                </c:pt>
                <c:pt idx="4">
                  <c:v>-3.0000000000000027E-3</c:v>
                </c:pt>
                <c:pt idx="5">
                  <c:v>-3.0000000000000027E-3</c:v>
                </c:pt>
                <c:pt idx="6">
                  <c:v>1.0000000000000009E-3</c:v>
                </c:pt>
                <c:pt idx="7">
                  <c:v>1.2999999999999956E-3</c:v>
                </c:pt>
                <c:pt idx="8">
                  <c:v>4.4000000000000011E-3</c:v>
                </c:pt>
              </c:numCache>
            </c:numRef>
          </c:val>
        </c:ser>
        <c:ser>
          <c:idx val="1"/>
          <c:order val="1"/>
          <c:spPr>
            <a:noFill/>
          </c:spPr>
          <c:invertIfNegative val="0"/>
          <c:cat>
            <c:strRef>
              <c:f>'(Cullen 2010 Fixed)'!$O$4:$O$12</c:f>
              <c:strCache>
                <c:ptCount val="9"/>
                <c:pt idx="0">
                  <c:v>Belgique  2010-2008</c:v>
                </c:pt>
                <c:pt idx="1">
                  <c:v>Pays-Bas  2010-2006</c:v>
                </c:pt>
                <c:pt idx="2">
                  <c:v>Allemagne** 2009-2007</c:v>
                </c:pt>
                <c:pt idx="3">
                  <c:v>Suisse * 2009-2008</c:v>
                </c:pt>
                <c:pt idx="4">
                  <c:v>Danemark  2009-2008</c:v>
                </c:pt>
                <c:pt idx="5">
                  <c:v>France 2010-2008</c:v>
                </c:pt>
                <c:pt idx="6">
                  <c:v>R.U. BL BT 2009-2005</c:v>
                </c:pt>
                <c:pt idx="7">
                  <c:v>Espagne  2009-2008</c:v>
                </c:pt>
                <c:pt idx="8">
                  <c:v>Finlande*** 2009-2008</c:v>
                </c:pt>
              </c:strCache>
            </c:strRef>
          </c:cat>
          <c:val>
            <c:numRef>
              <c:f>'(Cullen 2010 Fixed)'!$M$4:$M$12</c:f>
              <c:numCache>
                <c:formatCode>0.00%</c:formatCode>
                <c:ptCount val="9"/>
                <c:pt idx="0">
                  <c:v>-4.1000000000000029E-3</c:v>
                </c:pt>
                <c:pt idx="1">
                  <c:v>-8.9000000000000017E-3</c:v>
                </c:pt>
                <c:pt idx="2">
                  <c:v>-1.1199999999999998E-2</c:v>
                </c:pt>
                <c:pt idx="3">
                  <c:v>-1.4500000000000009E-2</c:v>
                </c:pt>
                <c:pt idx="4">
                  <c:v>-1.6999999999999998E-2</c:v>
                </c:pt>
                <c:pt idx="5">
                  <c:v>-1.6999999999999998E-2</c:v>
                </c:pt>
              </c:numCache>
            </c:numRef>
          </c:val>
        </c:ser>
        <c:dLbls>
          <c:showLegendKey val="0"/>
          <c:showVal val="0"/>
          <c:showCatName val="0"/>
          <c:showSerName val="0"/>
          <c:showPercent val="0"/>
          <c:showBubbleSize val="0"/>
        </c:dLbls>
        <c:gapWidth val="150"/>
        <c:overlap val="100"/>
        <c:axId val="115557504"/>
        <c:axId val="115559040"/>
      </c:barChart>
      <c:catAx>
        <c:axId val="115557504"/>
        <c:scaling>
          <c:orientation val="minMax"/>
        </c:scaling>
        <c:delete val="0"/>
        <c:axPos val="l"/>
        <c:numFmt formatCode="General" sourceLinked="1"/>
        <c:majorTickMark val="out"/>
        <c:minorTickMark val="none"/>
        <c:tickLblPos val="nextTo"/>
        <c:spPr>
          <a:noFill/>
        </c:spPr>
        <c:txPr>
          <a:bodyPr rot="0" vert="horz"/>
          <a:lstStyle/>
          <a:p>
            <a:pPr>
              <a:defRPr sz="1200" b="0" i="0" u="none" strike="noStrike" baseline="0">
                <a:solidFill>
                  <a:srgbClr val="000000"/>
                </a:solidFill>
                <a:latin typeface="Arial"/>
                <a:ea typeface="Arial"/>
                <a:cs typeface="Arial"/>
              </a:defRPr>
            </a:pPr>
            <a:endParaRPr lang="fr-FR"/>
          </a:p>
        </c:txPr>
        <c:crossAx val="115559040"/>
        <c:crossesAt val="-5"/>
        <c:auto val="0"/>
        <c:lblAlgn val="ctr"/>
        <c:lblOffset val="0"/>
        <c:noMultiLvlLbl val="0"/>
      </c:catAx>
      <c:valAx>
        <c:axId val="115559040"/>
        <c:scaling>
          <c:orientation val="minMax"/>
          <c:min val="-2.0000000000000011E-2"/>
        </c:scaling>
        <c:delete val="0"/>
        <c:axPos val="b"/>
        <c:majorGridlines/>
        <c:numFmt formatCode="0%"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115557504"/>
        <c:crossesAt val="1"/>
        <c:crossBetween val="between"/>
        <c:majorUnit val="1.0000000000000005E-2"/>
      </c:valAx>
      <c:spPr>
        <a:noFill/>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b="1"/>
          </a:pPr>
          <a:endParaRPr lang="fr-FR"/>
        </a:p>
      </c:txPr>
    </c:title>
    <c:autoTitleDeleted val="0"/>
    <c:plotArea>
      <c:layout/>
      <c:barChart>
        <c:barDir val="bar"/>
        <c:grouping val="clustered"/>
        <c:varyColors val="0"/>
        <c:ser>
          <c:idx val="0"/>
          <c:order val="0"/>
          <c:tx>
            <c:strRef>
              <c:f>'(Cullen 2010 Mobile)'!$A$1</c:f>
              <c:strCache>
                <c:ptCount val="1"/>
                <c:pt idx="0">
                  <c:v>WACC Mobile nominal avant impôts</c:v>
                </c:pt>
              </c:strCache>
            </c:strRef>
          </c:tx>
          <c:spPr>
            <a:solidFill>
              <a:srgbClr val="002060"/>
            </a:solidFill>
          </c:spPr>
          <c:invertIfNegative val="0"/>
          <c:dPt>
            <c:idx val="2"/>
            <c:invertIfNegative val="0"/>
            <c:bubble3D val="0"/>
            <c:spPr>
              <a:solidFill>
                <a:srgbClr val="FFC000"/>
              </a:solidFill>
            </c:spPr>
          </c:dPt>
          <c:dPt>
            <c:idx val="7"/>
            <c:invertIfNegative val="0"/>
            <c:bubble3D val="0"/>
            <c:spPr>
              <a:solidFill>
                <a:srgbClr val="C00000"/>
              </a:solidFill>
            </c:spPr>
          </c:dPt>
          <c:dLbls>
            <c:showLegendKey val="0"/>
            <c:showVal val="1"/>
            <c:showCatName val="0"/>
            <c:showSerName val="0"/>
            <c:showPercent val="0"/>
            <c:showBubbleSize val="0"/>
            <c:showLeaderLines val="0"/>
          </c:dLbls>
          <c:cat>
            <c:strRef>
              <c:f>'(Cullen 2010 Mobile)'!$A$4:$A$16</c:f>
              <c:strCache>
                <c:ptCount val="13"/>
                <c:pt idx="0">
                  <c:v>Allemagne 2009°</c:v>
                </c:pt>
                <c:pt idx="1">
                  <c:v>Danemark 2009</c:v>
                </c:pt>
                <c:pt idx="2">
                  <c:v>Belgique 2010</c:v>
                </c:pt>
                <c:pt idx="3">
                  <c:v>Royaume-Uni 2010°°</c:v>
                </c:pt>
                <c:pt idx="4">
                  <c:v>Pays-Bas 2010</c:v>
                </c:pt>
                <c:pt idx="5">
                  <c:v>Espagne 2009°°°</c:v>
                </c:pt>
                <c:pt idx="6">
                  <c:v>France 2010</c:v>
                </c:pt>
                <c:pt idx="7">
                  <c:v>Belgique 2006</c:v>
                </c:pt>
                <c:pt idx="8">
                  <c:v>Italie 2006</c:v>
                </c:pt>
                <c:pt idx="9">
                  <c:v>Suède 2008</c:v>
                </c:pt>
                <c:pt idx="10">
                  <c:v>Finlande 2009***</c:v>
                </c:pt>
                <c:pt idx="11">
                  <c:v>Norvège 2008</c:v>
                </c:pt>
                <c:pt idx="12">
                  <c:v>Grèce 2008</c:v>
                </c:pt>
              </c:strCache>
            </c:strRef>
          </c:cat>
          <c:val>
            <c:numRef>
              <c:f>'(Cullen 2010 Mobile)'!$B$4:$B$16</c:f>
              <c:numCache>
                <c:formatCode>0.00%</c:formatCode>
                <c:ptCount val="13"/>
                <c:pt idx="0">
                  <c:v>9.69E-2</c:v>
                </c:pt>
                <c:pt idx="1">
                  <c:v>9.8500000000000004E-2</c:v>
                </c:pt>
                <c:pt idx="2">
                  <c:v>0.10050000000000001</c:v>
                </c:pt>
                <c:pt idx="3">
                  <c:v>0.10199999999999999</c:v>
                </c:pt>
                <c:pt idx="4">
                  <c:v>0.1062</c:v>
                </c:pt>
                <c:pt idx="5">
                  <c:v>0.11523333333333331</c:v>
                </c:pt>
                <c:pt idx="6">
                  <c:v>0.1178</c:v>
                </c:pt>
                <c:pt idx="7">
                  <c:v>0.12239999999999999</c:v>
                </c:pt>
                <c:pt idx="8">
                  <c:v>0.124</c:v>
                </c:pt>
                <c:pt idx="9">
                  <c:v>0.129</c:v>
                </c:pt>
                <c:pt idx="10">
                  <c:v>0.13974999999999999</c:v>
                </c:pt>
                <c:pt idx="11">
                  <c:v>0.14199999999999999</c:v>
                </c:pt>
                <c:pt idx="12">
                  <c:v>0.14810000000000001</c:v>
                </c:pt>
              </c:numCache>
            </c:numRef>
          </c:val>
        </c:ser>
        <c:dLbls>
          <c:showLegendKey val="0"/>
          <c:showVal val="0"/>
          <c:showCatName val="0"/>
          <c:showSerName val="0"/>
          <c:showPercent val="0"/>
          <c:showBubbleSize val="0"/>
        </c:dLbls>
        <c:gapWidth val="150"/>
        <c:axId val="115772800"/>
        <c:axId val="115782784"/>
      </c:barChart>
      <c:catAx>
        <c:axId val="115772800"/>
        <c:scaling>
          <c:orientation val="maxMin"/>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115782784"/>
        <c:crosses val="autoZero"/>
        <c:auto val="1"/>
        <c:lblAlgn val="ctr"/>
        <c:lblOffset val="100"/>
        <c:noMultiLvlLbl val="0"/>
      </c:catAx>
      <c:valAx>
        <c:axId val="115782784"/>
        <c:scaling>
          <c:orientation val="minMax"/>
        </c:scaling>
        <c:delete val="0"/>
        <c:axPos val="t"/>
        <c:majorGridlines/>
        <c:numFmt formatCode="0%"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115772800"/>
        <c:crosses val="autoZero"/>
        <c:crossBetween val="between"/>
      </c:valAx>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chemeClr val="bg2">
                <a:lumMod val="90000"/>
              </a:schemeClr>
            </a:solidFill>
          </c:spPr>
          <c:invertIfNegative val="0"/>
          <c:dPt>
            <c:idx val="3"/>
            <c:invertIfNegative val="0"/>
            <c:bubble3D val="0"/>
            <c:spPr>
              <a:solidFill>
                <a:schemeClr val="bg2"/>
              </a:solidFill>
            </c:spPr>
          </c:dPt>
          <c:dPt>
            <c:idx val="7"/>
            <c:invertIfNegative val="0"/>
            <c:bubble3D val="0"/>
            <c:spPr>
              <a:solidFill>
                <a:srgbClr val="C00000"/>
              </a:solidFill>
            </c:spPr>
          </c:dPt>
          <c:dPt>
            <c:idx val="11"/>
            <c:invertIfNegative val="0"/>
            <c:bubble3D val="0"/>
            <c:spPr>
              <a:solidFill>
                <a:schemeClr val="accent3">
                  <a:lumMod val="50000"/>
                </a:schemeClr>
              </a:solidFill>
            </c:spPr>
          </c:dPt>
          <c:dLbls>
            <c:dLbl>
              <c:idx val="6"/>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7"/>
              <c:spPr/>
              <c:txPr>
                <a:bodyPr/>
                <a:lstStyle/>
                <a:p>
                  <a:pPr>
                    <a:defRPr sz="1200">
                      <a:solidFill>
                        <a:schemeClr val="bg1"/>
                      </a:solidFill>
                    </a:defRPr>
                  </a:pPr>
                  <a:endParaRPr lang="fr-FR"/>
                </a:p>
              </c:txPr>
              <c:showLegendKey val="0"/>
              <c:showVal val="1"/>
              <c:showCatName val="0"/>
              <c:showSerName val="0"/>
              <c:showPercent val="0"/>
              <c:showBubbleSize val="0"/>
            </c:dLbl>
            <c:dLbl>
              <c:idx val="10"/>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11"/>
              <c:spPr/>
              <c:txPr>
                <a:bodyPr/>
                <a:lstStyle/>
                <a:p>
                  <a:pPr>
                    <a:defRPr sz="1200">
                      <a:solidFill>
                        <a:schemeClr val="bg1"/>
                      </a:solidFill>
                    </a:defRPr>
                  </a:pPr>
                  <a:endParaRPr lang="fr-FR"/>
                </a:p>
              </c:txPr>
              <c:showLegendKey val="0"/>
              <c:showVal val="1"/>
              <c:showCatName val="0"/>
              <c:showSerName val="0"/>
              <c:showPercent val="0"/>
              <c:showBubbleSize val="0"/>
            </c:dLbl>
            <c:dLbl>
              <c:idx val="12"/>
              <c:spPr/>
              <c:txPr>
                <a:bodyPr/>
                <a:lstStyle/>
                <a:p>
                  <a:pPr>
                    <a:defRPr sz="1000">
                      <a:solidFill>
                        <a:sysClr val="windowText" lastClr="000000"/>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2014'!$AZ$57:$AZ$74</c:f>
              <c:strCache>
                <c:ptCount val="18"/>
                <c:pt idx="0">
                  <c:v>CH</c:v>
                </c:pt>
                <c:pt idx="1">
                  <c:v>DK</c:v>
                </c:pt>
                <c:pt idx="2">
                  <c:v>NL/Brattle</c:v>
                </c:pt>
                <c:pt idx="3">
                  <c:v>NL/Nera</c:v>
                </c:pt>
                <c:pt idx="4">
                  <c:v>FI</c:v>
                </c:pt>
                <c:pt idx="5">
                  <c:v>DE</c:v>
                </c:pt>
                <c:pt idx="6">
                  <c:v>SE</c:v>
                </c:pt>
                <c:pt idx="7">
                  <c:v>BIPT 2014</c:v>
                </c:pt>
                <c:pt idx="8">
                  <c:v>IE</c:v>
                </c:pt>
                <c:pt idx="9">
                  <c:v>IT</c:v>
                </c:pt>
                <c:pt idx="10">
                  <c:v>FR</c:v>
                </c:pt>
                <c:pt idx="11">
                  <c:v>BIPT 2010</c:v>
                </c:pt>
                <c:pt idx="12">
                  <c:v>UK</c:v>
                </c:pt>
                <c:pt idx="13">
                  <c:v>NO</c:v>
                </c:pt>
                <c:pt idx="14">
                  <c:v>AT</c:v>
                </c:pt>
                <c:pt idx="15">
                  <c:v>ES</c:v>
                </c:pt>
                <c:pt idx="16">
                  <c:v>PT</c:v>
                </c:pt>
                <c:pt idx="17">
                  <c:v>GR</c:v>
                </c:pt>
              </c:strCache>
            </c:strRef>
          </c:cat>
          <c:val>
            <c:numRef>
              <c:f>'FINAL BIPT &amp; Cullen 2014'!$BC$57:$BC$74</c:f>
              <c:numCache>
                <c:formatCode>0.0%</c:formatCode>
                <c:ptCount val="18"/>
                <c:pt idx="0">
                  <c:v>4.4600000000000001E-2</c:v>
                </c:pt>
                <c:pt idx="1">
                  <c:v>4.7E-2</c:v>
                </c:pt>
                <c:pt idx="2">
                  <c:v>6.2E-2</c:v>
                </c:pt>
                <c:pt idx="3">
                  <c:v>6.9917999999999925E-2</c:v>
                </c:pt>
                <c:pt idx="4">
                  <c:v>6.2E-2</c:v>
                </c:pt>
                <c:pt idx="5">
                  <c:v>7.0699999999999999E-2</c:v>
                </c:pt>
                <c:pt idx="6">
                  <c:v>7.4999999999999997E-2</c:v>
                </c:pt>
                <c:pt idx="7">
                  <c:v>8.1349159833066037E-2</c:v>
                </c:pt>
                <c:pt idx="8">
                  <c:v>8.48E-2</c:v>
                </c:pt>
                <c:pt idx="9">
                  <c:v>9.3600000000000003E-2</c:v>
                </c:pt>
                <c:pt idx="10">
                  <c:v>9.5000000000000001E-2</c:v>
                </c:pt>
                <c:pt idx="11">
                  <c:v>9.6121785799172826E-2</c:v>
                </c:pt>
                <c:pt idx="12">
                  <c:v>0.1</c:v>
                </c:pt>
                <c:pt idx="13">
                  <c:v>0.10199999999999999</c:v>
                </c:pt>
                <c:pt idx="14">
                  <c:v>0.1053</c:v>
                </c:pt>
                <c:pt idx="15">
                  <c:v>0.1091</c:v>
                </c:pt>
                <c:pt idx="16">
                  <c:v>0.1169</c:v>
                </c:pt>
                <c:pt idx="17">
                  <c:v>0.1226</c:v>
                </c:pt>
              </c:numCache>
            </c:numRef>
          </c:val>
        </c:ser>
        <c:ser>
          <c:idx val="1"/>
          <c:order val="1"/>
          <c:spPr>
            <a:solidFill>
              <a:schemeClr val="bg2"/>
            </a:solidFill>
          </c:spPr>
          <c:invertIfNegative val="0"/>
          <c:dLbls>
            <c:showLegendKey val="0"/>
            <c:showVal val="1"/>
            <c:showCatName val="0"/>
            <c:showSerName val="0"/>
            <c:showPercent val="0"/>
            <c:showBubbleSize val="0"/>
            <c:showLeaderLines val="0"/>
          </c:dLbls>
          <c:cat>
            <c:strRef>
              <c:f>'FINAL BIPT &amp; Cullen 2014'!$AZ$57:$AZ$74</c:f>
              <c:strCache>
                <c:ptCount val="18"/>
                <c:pt idx="0">
                  <c:v>CH</c:v>
                </c:pt>
                <c:pt idx="1">
                  <c:v>DK</c:v>
                </c:pt>
                <c:pt idx="2">
                  <c:v>NL/Brattle</c:v>
                </c:pt>
                <c:pt idx="3">
                  <c:v>NL/Nera</c:v>
                </c:pt>
                <c:pt idx="4">
                  <c:v>FI</c:v>
                </c:pt>
                <c:pt idx="5">
                  <c:v>DE</c:v>
                </c:pt>
                <c:pt idx="6">
                  <c:v>SE</c:v>
                </c:pt>
                <c:pt idx="7">
                  <c:v>BIPT 2014</c:v>
                </c:pt>
                <c:pt idx="8">
                  <c:v>IE</c:v>
                </c:pt>
                <c:pt idx="9">
                  <c:v>IT</c:v>
                </c:pt>
                <c:pt idx="10">
                  <c:v>FR</c:v>
                </c:pt>
                <c:pt idx="11">
                  <c:v>BIPT 2010</c:v>
                </c:pt>
                <c:pt idx="12">
                  <c:v>UK</c:v>
                </c:pt>
                <c:pt idx="13">
                  <c:v>NO</c:v>
                </c:pt>
                <c:pt idx="14">
                  <c:v>AT</c:v>
                </c:pt>
                <c:pt idx="15">
                  <c:v>ES</c:v>
                </c:pt>
                <c:pt idx="16">
                  <c:v>PT</c:v>
                </c:pt>
                <c:pt idx="17">
                  <c:v>GR</c:v>
                </c:pt>
              </c:strCache>
            </c:strRef>
          </c:cat>
          <c:val>
            <c:numRef>
              <c:f>'FINAL BIPT &amp; Cullen 2014'!$BD$57:$BD$74</c:f>
              <c:numCache>
                <c:formatCode>0.0%</c:formatCode>
                <c:ptCount val="18"/>
                <c:pt idx="4">
                  <c:v>1.7000000000000001E-2</c:v>
                </c:pt>
              </c:numCache>
            </c:numRef>
          </c:val>
        </c:ser>
        <c:dLbls>
          <c:showLegendKey val="0"/>
          <c:showVal val="0"/>
          <c:showCatName val="0"/>
          <c:showSerName val="0"/>
          <c:showPercent val="0"/>
          <c:showBubbleSize val="0"/>
        </c:dLbls>
        <c:gapWidth val="72"/>
        <c:overlap val="100"/>
        <c:axId val="104028032"/>
        <c:axId val="104029568"/>
      </c:barChart>
      <c:catAx>
        <c:axId val="104028032"/>
        <c:scaling>
          <c:orientation val="minMax"/>
        </c:scaling>
        <c:delete val="0"/>
        <c:axPos val="l"/>
        <c:majorTickMark val="out"/>
        <c:minorTickMark val="none"/>
        <c:tickLblPos val="nextTo"/>
        <c:txPr>
          <a:bodyPr/>
          <a:lstStyle/>
          <a:p>
            <a:pPr>
              <a:defRPr sz="1200"/>
            </a:pPr>
            <a:endParaRPr lang="fr-FR"/>
          </a:p>
        </c:txPr>
        <c:crossAx val="104029568"/>
        <c:crosses val="autoZero"/>
        <c:auto val="1"/>
        <c:lblAlgn val="ctr"/>
        <c:lblOffset val="100"/>
        <c:noMultiLvlLbl val="0"/>
      </c:catAx>
      <c:valAx>
        <c:axId val="104029568"/>
        <c:scaling>
          <c:orientation val="minMax"/>
          <c:max val="0.12000000000000002"/>
        </c:scaling>
        <c:delete val="0"/>
        <c:axPos val="b"/>
        <c:majorGridlines>
          <c:spPr>
            <a:ln>
              <a:solidFill>
                <a:schemeClr val="bg1">
                  <a:lumMod val="50000"/>
                </a:schemeClr>
              </a:solidFill>
              <a:prstDash val="dash"/>
            </a:ln>
          </c:spPr>
        </c:majorGridlines>
        <c:numFmt formatCode="0%" sourceLinked="0"/>
        <c:majorTickMark val="out"/>
        <c:minorTickMark val="none"/>
        <c:tickLblPos val="nextTo"/>
        <c:txPr>
          <a:bodyPr/>
          <a:lstStyle/>
          <a:p>
            <a:pPr>
              <a:defRPr sz="1200"/>
            </a:pPr>
            <a:endParaRPr lang="fr-FR"/>
          </a:p>
        </c:txPr>
        <c:crossAx val="104028032"/>
        <c:crosses val="autoZero"/>
        <c:crossBetween val="between"/>
        <c:majorUnit val="1.0000000000000005E-2"/>
      </c:valAx>
      <c:spPr>
        <a:noFill/>
      </c:spPr>
    </c:plotArea>
    <c:plotVisOnly val="1"/>
    <c:dispBlanksAs val="gap"/>
    <c:showDLblsOverMax val="0"/>
  </c:chart>
  <c:spPr>
    <a:noFill/>
    <a:ln>
      <a:noFill/>
    </a:ln>
  </c:spPr>
  <c:txPr>
    <a:bodyPr/>
    <a:lstStyle/>
    <a:p>
      <a:pPr>
        <a:defRPr>
          <a:latin typeface="Arial" pitchFamily="34" charset="0"/>
          <a:cs typeface="Arial" pitchFamily="34" charset="0"/>
        </a:defRPr>
      </a:pPr>
      <a:endParaRPr lang="fr-FR"/>
    </a:p>
  </c:txPr>
  <c:printSettings>
    <c:headerFooter/>
    <c:pageMargins b="0.75000000000001288" l="0.70000000000000062" r="0.70000000000000062" t="0.75000000000001288"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905644479151865"/>
          <c:y val="6.6944706948514218E-2"/>
          <c:w val="0.58497934713006039"/>
          <c:h val="0.85809369980626549"/>
        </c:manualLayout>
      </c:layout>
      <c:barChart>
        <c:barDir val="bar"/>
        <c:grouping val="stacked"/>
        <c:varyColors val="0"/>
        <c:ser>
          <c:idx val="0"/>
          <c:order val="0"/>
          <c:tx>
            <c:strRef>
              <c:f>'(Cullen 2010 Mobile)'!$L$3</c:f>
              <c:strCache>
                <c:ptCount val="1"/>
                <c:pt idx="0">
                  <c:v>Ecart entre la dernière décision post-cc et la précédente</c:v>
                </c:pt>
              </c:strCache>
            </c:strRef>
          </c:tx>
          <c:spPr>
            <a:solidFill>
              <a:srgbClr val="002060"/>
            </a:solidFill>
          </c:spPr>
          <c:invertIfNegative val="0"/>
          <c:dPt>
            <c:idx val="2"/>
            <c:invertIfNegative val="0"/>
            <c:bubble3D val="0"/>
            <c:spPr>
              <a:solidFill>
                <a:srgbClr val="FFFF00"/>
              </a:solidFill>
            </c:spPr>
          </c:dPt>
          <c:dLbls>
            <c:dLbl>
              <c:idx val="0"/>
              <c:layout>
                <c:manualLayout>
                  <c:x val="0.22754012388523906"/>
                  <c:y val="1.6324185259914991E-6"/>
                </c:manualLayout>
              </c:layout>
              <c:showLegendKey val="0"/>
              <c:showVal val="1"/>
              <c:showCatName val="0"/>
              <c:showSerName val="0"/>
              <c:showPercent val="0"/>
              <c:showBubbleSize val="0"/>
            </c:dLbl>
            <c:dLbl>
              <c:idx val="1"/>
              <c:layout>
                <c:manualLayout>
                  <c:x val="0.18104445884491718"/>
                  <c:y val="3.4566462287867208E-3"/>
                </c:manualLayout>
              </c:layout>
              <c:showLegendKey val="0"/>
              <c:showVal val="1"/>
              <c:showCatName val="0"/>
              <c:showSerName val="0"/>
              <c:showPercent val="0"/>
              <c:showBubbleSize val="0"/>
            </c:dLbl>
            <c:dLbl>
              <c:idx val="2"/>
              <c:layout>
                <c:manualLayout>
                  <c:x val="0.13838606313502699"/>
                  <c:y val="3.4566462287867208E-3"/>
                </c:manualLayout>
              </c:layout>
              <c:showLegendKey val="0"/>
              <c:showVal val="1"/>
              <c:showCatName val="0"/>
              <c:showSerName val="0"/>
              <c:showPercent val="0"/>
              <c:showBubbleSize val="0"/>
            </c:dLbl>
            <c:dLbl>
              <c:idx val="3"/>
              <c:layout>
                <c:manualLayout>
                  <c:x val="9.2144520832307134E-2"/>
                  <c:y val="6.9119321088019934E-3"/>
                </c:manualLayout>
              </c:layout>
              <c:showLegendKey val="0"/>
              <c:showVal val="1"/>
              <c:showCatName val="0"/>
              <c:showSerName val="0"/>
              <c:showPercent val="0"/>
              <c:showBubbleSize val="0"/>
            </c:dLbl>
            <c:dLbl>
              <c:idx val="4"/>
              <c:layout>
                <c:manualLayout>
                  <c:x val="6.4559809521494399E-2"/>
                  <c:y val="8.1620926299574805E-7"/>
                </c:manualLayout>
              </c:layout>
              <c:showLegendKey val="0"/>
              <c:showVal val="1"/>
              <c:showCatName val="0"/>
              <c:showSerName val="0"/>
              <c:showPercent val="0"/>
              <c:showBubbleSize val="0"/>
            </c:dLbl>
            <c:dLbl>
              <c:idx val="5"/>
              <c:layout>
                <c:manualLayout>
                  <c:x val="5.2813709641824434E-2"/>
                  <c:y val="8.1620926299574805E-7"/>
                </c:manualLayout>
              </c:layout>
              <c:showLegendKey val="0"/>
              <c:showVal val="1"/>
              <c:showCatName val="0"/>
              <c:showSerName val="0"/>
              <c:showPercent val="0"/>
              <c:showBubbleSize val="0"/>
            </c:dLbl>
            <c:dLbl>
              <c:idx val="6"/>
              <c:layout>
                <c:manualLayout>
                  <c:x val="-8.9804527364433923E-2"/>
                  <c:y val="0"/>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'(Cullen 2010 Mobile)'!$M$4:$M$10</c:f>
              <c:strCache>
                <c:ptCount val="7"/>
                <c:pt idx="0">
                  <c:v>Royaume-Uni°° 2010-2007</c:v>
                </c:pt>
                <c:pt idx="1">
                  <c:v>Pays-Bas 2010-2006</c:v>
                </c:pt>
                <c:pt idx="2">
                  <c:v>Belgique 2010-2006</c:v>
                </c:pt>
                <c:pt idx="3">
                  <c:v>Danemark  2009-2008</c:v>
                </c:pt>
                <c:pt idx="4">
                  <c:v>France 2010-2008</c:v>
                </c:pt>
                <c:pt idx="5">
                  <c:v>Espagne°°° 2009-2008</c:v>
                </c:pt>
                <c:pt idx="6">
                  <c:v>Finlande*** 2009-2008</c:v>
                </c:pt>
              </c:strCache>
            </c:strRef>
          </c:cat>
          <c:val>
            <c:numRef>
              <c:f>'(Cullen 2010 Mobile)'!$L$4:$L$10</c:f>
              <c:numCache>
                <c:formatCode>0.00%</c:formatCode>
                <c:ptCount val="7"/>
                <c:pt idx="0">
                  <c:v>-4.2999999999999997E-2</c:v>
                </c:pt>
                <c:pt idx="1">
                  <c:v>-3.1999999999999987E-2</c:v>
                </c:pt>
                <c:pt idx="2">
                  <c:v>-2.1899999999999989E-2</c:v>
                </c:pt>
                <c:pt idx="3">
                  <c:v>-1.1499999999999996E-2</c:v>
                </c:pt>
                <c:pt idx="4">
                  <c:v>-3.1999999999999945E-3</c:v>
                </c:pt>
                <c:pt idx="5">
                  <c:v>-1.1666666666666908E-3</c:v>
                </c:pt>
                <c:pt idx="6">
                  <c:v>1.0949999999999988E-2</c:v>
                </c:pt>
              </c:numCache>
            </c:numRef>
          </c:val>
        </c:ser>
        <c:ser>
          <c:idx val="1"/>
          <c:order val="1"/>
          <c:spPr>
            <a:noFill/>
          </c:spPr>
          <c:invertIfNegative val="0"/>
          <c:val>
            <c:numRef>
              <c:f>'(Cullen 2010 Mobile)'!$O$4:$O$10</c:f>
              <c:numCache>
                <c:formatCode>0.00%</c:formatCode>
                <c:ptCount val="7"/>
                <c:pt idx="0">
                  <c:v>-7.0000000000000062E-3</c:v>
                </c:pt>
                <c:pt idx="1">
                  <c:v>-1.8000000000000016E-2</c:v>
                </c:pt>
                <c:pt idx="2">
                  <c:v>-2.8100000000000014E-2</c:v>
                </c:pt>
                <c:pt idx="3">
                  <c:v>-3.8500000000000006E-2</c:v>
                </c:pt>
                <c:pt idx="4">
                  <c:v>-4.6800000000000008E-2</c:v>
                </c:pt>
                <c:pt idx="5">
                  <c:v>-4.8833333333333312E-2</c:v>
                </c:pt>
              </c:numCache>
            </c:numRef>
          </c:val>
        </c:ser>
        <c:dLbls>
          <c:showLegendKey val="0"/>
          <c:showVal val="0"/>
          <c:showCatName val="0"/>
          <c:showSerName val="0"/>
          <c:showPercent val="0"/>
          <c:showBubbleSize val="0"/>
        </c:dLbls>
        <c:gapWidth val="150"/>
        <c:overlap val="100"/>
        <c:axId val="120682752"/>
        <c:axId val="120700928"/>
      </c:barChart>
      <c:catAx>
        <c:axId val="120682752"/>
        <c:scaling>
          <c:orientation val="minMax"/>
        </c:scaling>
        <c:delete val="0"/>
        <c:axPos val="l"/>
        <c:numFmt formatCode="General" sourceLinked="1"/>
        <c:majorTickMark val="out"/>
        <c:minorTickMark val="none"/>
        <c:tickLblPos val="nextTo"/>
        <c:spPr>
          <a:noFill/>
        </c:spPr>
        <c:txPr>
          <a:bodyPr rot="0" vert="horz"/>
          <a:lstStyle/>
          <a:p>
            <a:pPr>
              <a:defRPr sz="1200" b="0" i="0" u="none" strike="noStrike" baseline="0">
                <a:solidFill>
                  <a:srgbClr val="000000"/>
                </a:solidFill>
                <a:latin typeface="Arial"/>
                <a:ea typeface="Arial"/>
                <a:cs typeface="Arial"/>
              </a:defRPr>
            </a:pPr>
            <a:endParaRPr lang="fr-FR"/>
          </a:p>
        </c:txPr>
        <c:crossAx val="120700928"/>
        <c:crossesAt val="-5"/>
        <c:auto val="0"/>
        <c:lblAlgn val="ctr"/>
        <c:lblOffset val="0"/>
        <c:noMultiLvlLbl val="0"/>
      </c:catAx>
      <c:valAx>
        <c:axId val="120700928"/>
        <c:scaling>
          <c:orientation val="minMax"/>
          <c:min val="-0.05"/>
        </c:scaling>
        <c:delete val="0"/>
        <c:axPos val="b"/>
        <c:majorGridlines/>
        <c:numFmt formatCode="0%"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fr-FR"/>
          </a:p>
        </c:txPr>
        <c:crossAx val="120682752"/>
        <c:crossesAt val="1"/>
        <c:crossBetween val="between"/>
        <c:majorUnit val="1.0000000000000005E-2"/>
      </c:valAx>
      <c:spPr>
        <a:noFill/>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3829605761144"/>
          <c:y val="3.366501932184144E-2"/>
          <c:w val="0.78266333514925757"/>
          <c:h val="0.88202447015550445"/>
        </c:manualLayout>
      </c:layout>
      <c:barChart>
        <c:barDir val="bar"/>
        <c:grouping val="stacked"/>
        <c:varyColors val="0"/>
        <c:ser>
          <c:idx val="0"/>
          <c:order val="0"/>
          <c:spPr>
            <a:solidFill>
              <a:schemeClr val="bg2">
                <a:lumMod val="90000"/>
              </a:schemeClr>
            </a:solidFill>
          </c:spPr>
          <c:invertIfNegative val="0"/>
          <c:dPt>
            <c:idx val="5"/>
            <c:invertIfNegative val="0"/>
            <c:bubble3D val="0"/>
            <c:spPr>
              <a:solidFill>
                <a:srgbClr val="C00000"/>
              </a:solidFill>
            </c:spPr>
          </c:dPt>
          <c:dPt>
            <c:idx val="8"/>
            <c:invertIfNegative val="0"/>
            <c:bubble3D val="0"/>
            <c:spPr>
              <a:solidFill>
                <a:schemeClr val="accent3">
                  <a:lumMod val="50000"/>
                </a:schemeClr>
              </a:solidFill>
            </c:spPr>
          </c:dPt>
          <c:dLbls>
            <c:dLbl>
              <c:idx val="4"/>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5"/>
              <c:spPr/>
              <c:txPr>
                <a:bodyPr/>
                <a:lstStyle/>
                <a:p>
                  <a:pPr>
                    <a:defRPr sz="1200">
                      <a:solidFill>
                        <a:schemeClr val="bg1"/>
                      </a:solidFill>
                    </a:defRPr>
                  </a:pPr>
                  <a:endParaRPr lang="fr-FR"/>
                </a:p>
              </c:txPr>
              <c:showLegendKey val="0"/>
              <c:showVal val="1"/>
              <c:showCatName val="0"/>
              <c:showSerName val="0"/>
              <c:showPercent val="0"/>
              <c:showBubbleSize val="0"/>
            </c:dLbl>
            <c:dLbl>
              <c:idx val="6"/>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8"/>
              <c:spPr/>
              <c:txPr>
                <a:bodyPr/>
                <a:lstStyle/>
                <a:p>
                  <a:pPr>
                    <a:defRPr sz="1200">
                      <a:solidFill>
                        <a:schemeClr val="bg1"/>
                      </a:solidFill>
                    </a:defRPr>
                  </a:pPr>
                  <a:endParaRPr lang="fr-FR"/>
                </a:p>
              </c:txPr>
              <c:showLegendKey val="0"/>
              <c:showVal val="1"/>
              <c:showCatName val="0"/>
              <c:showSerName val="0"/>
              <c:showPercent val="0"/>
              <c:showBubbleSize val="0"/>
            </c:dLbl>
            <c:dLbl>
              <c:idx val="9"/>
              <c:spPr/>
              <c:txPr>
                <a:bodyPr/>
                <a:lstStyle/>
                <a:p>
                  <a:pPr>
                    <a:defRPr sz="1000">
                      <a:solidFill>
                        <a:schemeClr val="tx1"/>
                      </a:solidFill>
                    </a:defRPr>
                  </a:pPr>
                  <a:endParaRPr lang="fr-FR"/>
                </a:p>
              </c:txPr>
              <c:showLegendKey val="0"/>
              <c:showVal val="1"/>
              <c:showCatName val="0"/>
              <c:showSerName val="0"/>
              <c:showPercent val="0"/>
              <c:showBubbleSize val="0"/>
            </c:dLbl>
            <c:dLbl>
              <c:idx val="10"/>
              <c:spPr/>
              <c:txPr>
                <a:bodyPr/>
                <a:lstStyle/>
                <a:p>
                  <a:pPr>
                    <a:defRPr sz="1000">
                      <a:solidFill>
                        <a:sysClr val="windowText" lastClr="000000"/>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2014'!$BP$57:$BP$71</c:f>
              <c:strCache>
                <c:ptCount val="15"/>
                <c:pt idx="0">
                  <c:v>DK</c:v>
                </c:pt>
                <c:pt idx="1">
                  <c:v>NL/Brattle</c:v>
                </c:pt>
                <c:pt idx="2">
                  <c:v>DE</c:v>
                </c:pt>
                <c:pt idx="3">
                  <c:v>FI</c:v>
                </c:pt>
                <c:pt idx="4">
                  <c:v>SE</c:v>
                </c:pt>
                <c:pt idx="5">
                  <c:v>BIPT 2014</c:v>
                </c:pt>
                <c:pt idx="6">
                  <c:v>IE</c:v>
                </c:pt>
                <c:pt idx="7">
                  <c:v>UK</c:v>
                </c:pt>
                <c:pt idx="8">
                  <c:v>BIPT 2010</c:v>
                </c:pt>
                <c:pt idx="9">
                  <c:v>ES</c:v>
                </c:pt>
                <c:pt idx="10">
                  <c:v>FR</c:v>
                </c:pt>
                <c:pt idx="11">
                  <c:v>IT</c:v>
                </c:pt>
                <c:pt idx="12">
                  <c:v>PT</c:v>
                </c:pt>
                <c:pt idx="13">
                  <c:v>AT</c:v>
                </c:pt>
                <c:pt idx="14">
                  <c:v>NO</c:v>
                </c:pt>
              </c:strCache>
            </c:strRef>
          </c:cat>
          <c:val>
            <c:numRef>
              <c:f>'FINAL BIPT &amp; Cullen 2014'!$BS$57:$BS$71</c:f>
              <c:numCache>
                <c:formatCode>0.0%</c:formatCode>
                <c:ptCount val="15"/>
                <c:pt idx="0">
                  <c:v>4.4699999999999997E-2</c:v>
                </c:pt>
                <c:pt idx="1">
                  <c:v>6.7000000000000004E-2</c:v>
                </c:pt>
                <c:pt idx="2">
                  <c:v>7.0699999999999999E-2</c:v>
                </c:pt>
                <c:pt idx="3">
                  <c:v>7.0000000000000007E-2</c:v>
                </c:pt>
                <c:pt idx="4">
                  <c:v>7.8E-2</c:v>
                </c:pt>
                <c:pt idx="5">
                  <c:v>8.1314444978701092E-2</c:v>
                </c:pt>
                <c:pt idx="6">
                  <c:v>8.6599999999999996E-2</c:v>
                </c:pt>
                <c:pt idx="7">
                  <c:v>8.8999999999999996E-2</c:v>
                </c:pt>
                <c:pt idx="8">
                  <c:v>0.1004917173404925</c:v>
                </c:pt>
                <c:pt idx="9">
                  <c:v>9.2100000000000001E-2</c:v>
                </c:pt>
                <c:pt idx="10">
                  <c:v>0.104</c:v>
                </c:pt>
                <c:pt idx="11">
                  <c:v>0.104</c:v>
                </c:pt>
                <c:pt idx="12">
                  <c:v>0.111</c:v>
                </c:pt>
                <c:pt idx="13">
                  <c:v>0.1137</c:v>
                </c:pt>
                <c:pt idx="14">
                  <c:v>0.11799999999999999</c:v>
                </c:pt>
              </c:numCache>
            </c:numRef>
          </c:val>
        </c:ser>
        <c:ser>
          <c:idx val="1"/>
          <c:order val="1"/>
          <c:spPr>
            <a:solidFill>
              <a:schemeClr val="bg2"/>
            </a:solidFill>
          </c:spPr>
          <c:invertIfNegative val="0"/>
          <c:dLbls>
            <c:showLegendKey val="0"/>
            <c:showVal val="1"/>
            <c:showCatName val="0"/>
            <c:showSerName val="0"/>
            <c:showPercent val="0"/>
            <c:showBubbleSize val="0"/>
            <c:showLeaderLines val="0"/>
          </c:dLbls>
          <c:cat>
            <c:strRef>
              <c:f>'FINAL BIPT &amp; Cullen 2014'!$BP$57:$BP$71</c:f>
              <c:strCache>
                <c:ptCount val="15"/>
                <c:pt idx="0">
                  <c:v>DK</c:v>
                </c:pt>
                <c:pt idx="1">
                  <c:v>NL/Brattle</c:v>
                </c:pt>
                <c:pt idx="2">
                  <c:v>DE</c:v>
                </c:pt>
                <c:pt idx="3">
                  <c:v>FI</c:v>
                </c:pt>
                <c:pt idx="4">
                  <c:v>SE</c:v>
                </c:pt>
                <c:pt idx="5">
                  <c:v>BIPT 2014</c:v>
                </c:pt>
                <c:pt idx="6">
                  <c:v>IE</c:v>
                </c:pt>
                <c:pt idx="7">
                  <c:v>UK</c:v>
                </c:pt>
                <c:pt idx="8">
                  <c:v>BIPT 2010</c:v>
                </c:pt>
                <c:pt idx="9">
                  <c:v>ES</c:v>
                </c:pt>
                <c:pt idx="10">
                  <c:v>FR</c:v>
                </c:pt>
                <c:pt idx="11">
                  <c:v>IT</c:v>
                </c:pt>
                <c:pt idx="12">
                  <c:v>PT</c:v>
                </c:pt>
                <c:pt idx="13">
                  <c:v>AT</c:v>
                </c:pt>
                <c:pt idx="14">
                  <c:v>NO</c:v>
                </c:pt>
              </c:strCache>
            </c:strRef>
          </c:cat>
          <c:val>
            <c:numRef>
              <c:f>'FINAL BIPT &amp; Cullen 2014'!$BT$57:$BT$71</c:f>
              <c:numCache>
                <c:formatCode>0.0%</c:formatCode>
                <c:ptCount val="15"/>
                <c:pt idx="3">
                  <c:v>1.2999999999999999E-2</c:v>
                </c:pt>
                <c:pt idx="9">
                  <c:v>1.6999999999999987E-2</c:v>
                </c:pt>
              </c:numCache>
            </c:numRef>
          </c:val>
        </c:ser>
        <c:dLbls>
          <c:showLegendKey val="0"/>
          <c:showVal val="0"/>
          <c:showCatName val="0"/>
          <c:showSerName val="0"/>
          <c:showPercent val="0"/>
          <c:showBubbleSize val="0"/>
        </c:dLbls>
        <c:gapWidth val="72"/>
        <c:overlap val="100"/>
        <c:axId val="111047808"/>
        <c:axId val="111049344"/>
      </c:barChart>
      <c:catAx>
        <c:axId val="111047808"/>
        <c:scaling>
          <c:orientation val="minMax"/>
        </c:scaling>
        <c:delete val="0"/>
        <c:axPos val="l"/>
        <c:majorTickMark val="out"/>
        <c:minorTickMark val="none"/>
        <c:tickLblPos val="nextTo"/>
        <c:txPr>
          <a:bodyPr/>
          <a:lstStyle/>
          <a:p>
            <a:pPr>
              <a:defRPr sz="1200"/>
            </a:pPr>
            <a:endParaRPr lang="fr-FR"/>
          </a:p>
        </c:txPr>
        <c:crossAx val="111049344"/>
        <c:crosses val="autoZero"/>
        <c:auto val="1"/>
        <c:lblAlgn val="ctr"/>
        <c:lblOffset val="100"/>
        <c:noMultiLvlLbl val="0"/>
      </c:catAx>
      <c:valAx>
        <c:axId val="111049344"/>
        <c:scaling>
          <c:orientation val="minMax"/>
          <c:max val="0.15000000000000024"/>
          <c:min val="0"/>
        </c:scaling>
        <c:delete val="0"/>
        <c:axPos val="b"/>
        <c:majorGridlines>
          <c:spPr>
            <a:ln>
              <a:solidFill>
                <a:schemeClr val="bg1">
                  <a:lumMod val="50000"/>
                </a:schemeClr>
              </a:solidFill>
              <a:prstDash val="dash"/>
            </a:ln>
          </c:spPr>
        </c:majorGridlines>
        <c:numFmt formatCode="0%" sourceLinked="0"/>
        <c:majorTickMark val="out"/>
        <c:minorTickMark val="cross"/>
        <c:tickLblPos val="nextTo"/>
        <c:txPr>
          <a:bodyPr/>
          <a:lstStyle/>
          <a:p>
            <a:pPr>
              <a:defRPr sz="1200"/>
            </a:pPr>
            <a:endParaRPr lang="fr-FR"/>
          </a:p>
        </c:txPr>
        <c:crossAx val="111047808"/>
        <c:crosses val="autoZero"/>
        <c:crossBetween val="between"/>
        <c:majorUnit val="2.0000000000000011E-2"/>
        <c:minorUnit val="1.0000000000000005E-2"/>
      </c:valAx>
      <c:spPr>
        <a:noFill/>
      </c:spPr>
    </c:plotArea>
    <c:plotVisOnly val="1"/>
    <c:dispBlanksAs val="gap"/>
    <c:showDLblsOverMax val="0"/>
  </c:chart>
  <c:spPr>
    <a:noFill/>
    <a:ln>
      <a:noFill/>
    </a:ln>
  </c:spPr>
  <c:txPr>
    <a:bodyPr/>
    <a:lstStyle/>
    <a:p>
      <a:pPr>
        <a:defRPr>
          <a:latin typeface="Arial" pitchFamily="34" charset="0"/>
          <a:cs typeface="Arial" pitchFamily="34" charset="0"/>
        </a:defRPr>
      </a:pPr>
      <a:endParaRPr lang="fr-FR"/>
    </a:p>
  </c:txPr>
  <c:printSettings>
    <c:headerFooter/>
    <c:pageMargins b="0.7500000000000131" l="0.70000000000000062" r="0.70000000000000062" t="0.750000000000013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268706815527424E-2"/>
          <c:y val="2.6539969074306394E-2"/>
          <c:w val="0.86307013158230983"/>
          <c:h val="0.9011897079573723"/>
        </c:manualLayout>
      </c:layout>
      <c:barChart>
        <c:barDir val="bar"/>
        <c:grouping val="stacked"/>
        <c:varyColors val="0"/>
        <c:ser>
          <c:idx val="0"/>
          <c:order val="0"/>
          <c:spPr>
            <a:solidFill>
              <a:schemeClr val="bg2">
                <a:lumMod val="90000"/>
              </a:schemeClr>
            </a:solidFill>
          </c:spPr>
          <c:invertIfNegative val="0"/>
          <c:dPt>
            <c:idx val="8"/>
            <c:invertIfNegative val="0"/>
            <c:bubble3D val="0"/>
            <c:spPr>
              <a:solidFill>
                <a:schemeClr val="accent3">
                  <a:lumMod val="50000"/>
                </a:schemeClr>
              </a:solidFill>
            </c:spPr>
          </c:dPt>
          <c:dLbls>
            <c:dLbl>
              <c:idx val="0"/>
              <c:layout>
                <c:manualLayout>
                  <c:x val="-2.955664451405211E-2"/>
                  <c:y val="-3.1914888270247071E-3"/>
                </c:manualLayout>
              </c:layout>
              <c:showLegendKey val="0"/>
              <c:showVal val="1"/>
              <c:showCatName val="0"/>
              <c:showSerName val="0"/>
              <c:showPercent val="0"/>
              <c:showBubbleSize val="0"/>
            </c:dLbl>
            <c:dLbl>
              <c:idx val="1"/>
              <c:layout>
                <c:manualLayout>
                  <c:x val="-2.7093590804547801E-2"/>
                  <c:y val="-3.1914888270248238E-3"/>
                </c:manualLayout>
              </c:layout>
              <c:showLegendKey val="0"/>
              <c:showVal val="1"/>
              <c:showCatName val="0"/>
              <c:showSerName val="0"/>
              <c:showPercent val="0"/>
              <c:showBubbleSize val="0"/>
            </c:dLbl>
            <c:dLbl>
              <c:idx val="2"/>
              <c:layout>
                <c:manualLayout>
                  <c:x val="-6.7514085212278183E-2"/>
                  <c:y val="-3.9258465583817299E-3"/>
                </c:manualLayout>
              </c:layout>
              <c:showLegendKey val="0"/>
              <c:showVal val="1"/>
              <c:showCatName val="0"/>
              <c:showSerName val="0"/>
              <c:showPercent val="0"/>
              <c:showBubbleSize val="0"/>
            </c:dLbl>
            <c:dLbl>
              <c:idx val="3"/>
              <c:layout>
                <c:manualLayout>
                  <c:x val="1.1070970097228062E-2"/>
                  <c:y val="-3.6836030104454936E-3"/>
                </c:manualLayout>
              </c:layout>
              <c:showLegendKey val="0"/>
              <c:showVal val="1"/>
              <c:showCatName val="0"/>
              <c:showSerName val="0"/>
              <c:showPercent val="0"/>
              <c:showBubbleSize val="0"/>
            </c:dLbl>
            <c:dLbl>
              <c:idx val="4"/>
              <c:layout>
                <c:manualLayout>
                  <c:x val="2.0335050763910477E-2"/>
                  <c:y val="-3.1420343372616787E-4"/>
                </c:manualLayout>
              </c:layout>
              <c:spPr>
                <a:solidFill>
                  <a:srgbClr val="C00000"/>
                </a:solidFill>
              </c:spPr>
              <c:txPr>
                <a:bodyPr/>
                <a:lstStyle/>
                <a:p>
                  <a:pPr>
                    <a:defRPr sz="1200" b="0">
                      <a:solidFill>
                        <a:schemeClr val="bg1"/>
                      </a:solidFill>
                    </a:defRPr>
                  </a:pPr>
                  <a:endParaRPr lang="fr-FR"/>
                </a:p>
              </c:txPr>
              <c:showLegendKey val="0"/>
              <c:showVal val="1"/>
              <c:showCatName val="0"/>
              <c:showSerName val="0"/>
              <c:showPercent val="0"/>
              <c:showBubbleSize val="0"/>
            </c:dLbl>
            <c:dLbl>
              <c:idx val="5"/>
              <c:layout>
                <c:manualLayout>
                  <c:x val="1.6940160332836119E-2"/>
                  <c:y val="-3.2868960006824394E-3"/>
                </c:manualLayout>
              </c:layout>
              <c:showLegendKey val="0"/>
              <c:showVal val="1"/>
              <c:showCatName val="0"/>
              <c:showSerName val="0"/>
              <c:showPercent val="0"/>
              <c:showBubbleSize val="0"/>
            </c:dLbl>
            <c:dLbl>
              <c:idx val="6"/>
              <c:layout>
                <c:manualLayout>
                  <c:x val="3.9903013115420837E-3"/>
                  <c:y val="3.1496055043394162E-4"/>
                </c:manualLayout>
              </c:layout>
              <c:spPr/>
              <c:txPr>
                <a:bodyPr/>
                <a:lstStyle/>
                <a:p>
                  <a:pPr>
                    <a:defRPr sz="1000" b="0">
                      <a:solidFill>
                        <a:sysClr val="windowText" lastClr="000000"/>
                      </a:solidFill>
                    </a:defRPr>
                  </a:pPr>
                  <a:endParaRPr lang="fr-FR"/>
                </a:p>
              </c:txPr>
              <c:showLegendKey val="0"/>
              <c:showVal val="1"/>
              <c:showCatName val="0"/>
              <c:showSerName val="0"/>
              <c:showPercent val="0"/>
              <c:showBubbleSize val="0"/>
            </c:dLbl>
            <c:dLbl>
              <c:idx val="7"/>
              <c:layout>
                <c:manualLayout>
                  <c:x val="5.5478489962870912E-3"/>
                  <c:y val="3.20512739624286E-3"/>
                </c:manualLayout>
              </c:layout>
              <c:showLegendKey val="0"/>
              <c:showVal val="1"/>
              <c:showCatName val="0"/>
              <c:showSerName val="0"/>
              <c:showPercent val="0"/>
              <c:showBubbleSize val="0"/>
            </c:dLbl>
            <c:dLbl>
              <c:idx val="8"/>
              <c:spPr/>
              <c:txPr>
                <a:bodyPr/>
                <a:lstStyle/>
                <a:p>
                  <a:pPr>
                    <a:defRPr sz="1200">
                      <a:solidFill>
                        <a:schemeClr val="bg1"/>
                      </a:solidFill>
                    </a:defRPr>
                  </a:pPr>
                  <a:endParaRPr lang="fr-FR"/>
                </a:p>
              </c:txPr>
              <c:showLegendKey val="0"/>
              <c:showVal val="1"/>
              <c:showCatName val="0"/>
              <c:showSerName val="0"/>
              <c:showPercent val="0"/>
              <c:showBubbleSize val="0"/>
            </c:dLbl>
            <c:txPr>
              <a:bodyPr/>
              <a:lstStyle/>
              <a:p>
                <a:pPr>
                  <a:defRPr sz="1000">
                    <a:solidFill>
                      <a:sysClr val="windowText" lastClr="000000"/>
                    </a:solidFill>
                  </a:defRPr>
                </a:pPr>
                <a:endParaRPr lang="fr-FR"/>
              </a:p>
            </c:txPr>
            <c:showLegendKey val="0"/>
            <c:showVal val="1"/>
            <c:showCatName val="0"/>
            <c:showSerName val="0"/>
            <c:showPercent val="0"/>
            <c:showBubbleSize val="0"/>
            <c:showLeaderLines val="0"/>
          </c:dLbls>
          <c:cat>
            <c:strRef>
              <c:f>'FINAL BIPT &amp; Cullen 2014'!$CF$57:$CF$72</c:f>
              <c:strCache>
                <c:ptCount val="16"/>
                <c:pt idx="0">
                  <c:v>UK</c:v>
                </c:pt>
                <c:pt idx="1">
                  <c:v>ES</c:v>
                </c:pt>
                <c:pt idx="2">
                  <c:v>PT</c:v>
                </c:pt>
                <c:pt idx="3">
                  <c:v>DK</c:v>
                </c:pt>
                <c:pt idx="4">
                  <c:v>BIPT 2014</c:v>
                </c:pt>
                <c:pt idx="5">
                  <c:v>DE</c:v>
                </c:pt>
                <c:pt idx="6">
                  <c:v>IE</c:v>
                </c:pt>
                <c:pt idx="7">
                  <c:v>SE</c:v>
                </c:pt>
                <c:pt idx="8">
                  <c:v>BIPT 2010</c:v>
                </c:pt>
                <c:pt idx="9">
                  <c:v>NL/Brattle</c:v>
                </c:pt>
                <c:pt idx="10">
                  <c:v>FI</c:v>
                </c:pt>
                <c:pt idx="11">
                  <c:v>AT</c:v>
                </c:pt>
                <c:pt idx="12">
                  <c:v>FR</c:v>
                </c:pt>
                <c:pt idx="13">
                  <c:v>IT</c:v>
                </c:pt>
                <c:pt idx="14">
                  <c:v>NO</c:v>
                </c:pt>
                <c:pt idx="15">
                  <c:v>GR</c:v>
                </c:pt>
              </c:strCache>
            </c:strRef>
          </c:cat>
          <c:val>
            <c:numRef>
              <c:f>'FINAL BIPT &amp; Cullen 2014'!$CI$57:$CI$72</c:f>
              <c:numCache>
                <c:formatCode>0.0%</c:formatCode>
                <c:ptCount val="16"/>
                <c:pt idx="0">
                  <c:v>-1.100000000000001E-2</c:v>
                </c:pt>
                <c:pt idx="1">
                  <c:v>-8.5000000000000075E-3</c:v>
                </c:pt>
                <c:pt idx="2">
                  <c:v>-5.9000000000000025E-3</c:v>
                </c:pt>
                <c:pt idx="3">
                  <c:v>-2.3000000000000034E-3</c:v>
                </c:pt>
                <c:pt idx="4">
                  <c:v>-3.4714854364945036E-5</c:v>
                </c:pt>
                <c:pt idx="5">
                  <c:v>0</c:v>
                </c:pt>
                <c:pt idx="6">
                  <c:v>1.799999999999996E-3</c:v>
                </c:pt>
                <c:pt idx="7">
                  <c:v>3.0000000000000027E-3</c:v>
                </c:pt>
                <c:pt idx="8">
                  <c:v>4.3699315413196771E-3</c:v>
                </c:pt>
                <c:pt idx="9">
                  <c:v>5.0000000000000044E-3</c:v>
                </c:pt>
                <c:pt idx="10">
                  <c:v>6.0000000000000053E-3</c:v>
                </c:pt>
                <c:pt idx="11">
                  <c:v>8.3999999999999908E-3</c:v>
                </c:pt>
                <c:pt idx="12">
                  <c:v>8.9999999999999941E-3</c:v>
                </c:pt>
                <c:pt idx="13">
                  <c:v>1.0399999999999993E-2</c:v>
                </c:pt>
                <c:pt idx="14">
                  <c:v>1.6E-2</c:v>
                </c:pt>
                <c:pt idx="15">
                  <c:v>2.0299999999999999E-2</c:v>
                </c:pt>
              </c:numCache>
            </c:numRef>
          </c:val>
        </c:ser>
        <c:dLbls>
          <c:showLegendKey val="0"/>
          <c:showVal val="0"/>
          <c:showCatName val="0"/>
          <c:showSerName val="0"/>
          <c:showPercent val="0"/>
          <c:showBubbleSize val="0"/>
        </c:dLbls>
        <c:gapWidth val="72"/>
        <c:overlap val="100"/>
        <c:axId val="115150208"/>
        <c:axId val="115156096"/>
      </c:barChart>
      <c:catAx>
        <c:axId val="115150208"/>
        <c:scaling>
          <c:orientation val="minMax"/>
        </c:scaling>
        <c:delete val="0"/>
        <c:axPos val="l"/>
        <c:majorTickMark val="out"/>
        <c:minorTickMark val="none"/>
        <c:tickLblPos val="nextTo"/>
        <c:txPr>
          <a:bodyPr/>
          <a:lstStyle/>
          <a:p>
            <a:pPr>
              <a:defRPr sz="1200"/>
            </a:pPr>
            <a:endParaRPr lang="fr-FR"/>
          </a:p>
        </c:txPr>
        <c:crossAx val="115156096"/>
        <c:crosses val="autoZero"/>
        <c:auto val="1"/>
        <c:lblAlgn val="ctr"/>
        <c:lblOffset val="100"/>
        <c:noMultiLvlLbl val="0"/>
      </c:catAx>
      <c:valAx>
        <c:axId val="115156096"/>
        <c:scaling>
          <c:orientation val="minMax"/>
        </c:scaling>
        <c:delete val="0"/>
        <c:axPos val="b"/>
        <c:majorGridlines>
          <c:spPr>
            <a:ln>
              <a:solidFill>
                <a:schemeClr val="bg1">
                  <a:lumMod val="50000"/>
                </a:schemeClr>
              </a:solidFill>
              <a:prstDash val="dash"/>
            </a:ln>
          </c:spPr>
        </c:majorGridlines>
        <c:numFmt formatCode="0.0%" sourceLinked="0"/>
        <c:majorTickMark val="out"/>
        <c:minorTickMark val="none"/>
        <c:tickLblPos val="nextTo"/>
        <c:txPr>
          <a:bodyPr/>
          <a:lstStyle/>
          <a:p>
            <a:pPr>
              <a:defRPr sz="1200"/>
            </a:pPr>
            <a:endParaRPr lang="fr-FR"/>
          </a:p>
        </c:txPr>
        <c:crossAx val="115150208"/>
        <c:crosses val="autoZero"/>
        <c:crossBetween val="between"/>
        <c:majorUnit val="5.0000000000000114E-3"/>
      </c:valAx>
    </c:plotArea>
    <c:plotVisOnly val="1"/>
    <c:dispBlanksAs val="gap"/>
    <c:showDLblsOverMax val="0"/>
  </c:chart>
  <c:spPr>
    <a:ln>
      <a:noFill/>
    </a:ln>
  </c:spPr>
  <c:txPr>
    <a:bodyPr/>
    <a:lstStyle/>
    <a:p>
      <a:pPr>
        <a:defRPr>
          <a:latin typeface="Arial" pitchFamily="34" charset="0"/>
          <a:cs typeface="Arial" pitchFamily="34" charset="0"/>
        </a:defRPr>
      </a:pPr>
      <a:endParaRPr lang="fr-FR"/>
    </a:p>
  </c:txPr>
  <c:printSettings>
    <c:headerFooter/>
    <c:pageMargins b="0.75000000000001332" l="0.70000000000000062" r="0.70000000000000062" t="0.7500000000000133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82343045688098E-2"/>
          <c:y val="4.1662279819307833E-2"/>
          <c:w val="0.85472877059124863"/>
          <c:h val="0.86191049728934599"/>
        </c:manualLayout>
      </c:layout>
      <c:scatterChart>
        <c:scatterStyle val="lineMarker"/>
        <c:varyColors val="0"/>
        <c:ser>
          <c:idx val="0"/>
          <c:order val="0"/>
          <c:spPr>
            <a:ln w="28575">
              <a:noFill/>
            </a:ln>
          </c:spPr>
          <c:marker>
            <c:symbol val="circle"/>
            <c:size val="9"/>
            <c:spPr>
              <a:solidFill>
                <a:srgbClr val="FFC000">
                  <a:alpha val="50196"/>
                </a:srgbClr>
              </a:solidFill>
              <a:ln>
                <a:noFill/>
              </a:ln>
            </c:spPr>
          </c:marker>
          <c:dPt>
            <c:idx val="6"/>
            <c:marker>
              <c:spPr>
                <a:solidFill>
                  <a:srgbClr val="FFC000">
                    <a:alpha val="50000"/>
                  </a:srgbClr>
                </a:solidFill>
                <a:ln>
                  <a:noFill/>
                </a:ln>
              </c:spPr>
            </c:marker>
            <c:bubble3D val="0"/>
          </c:dPt>
          <c:dPt>
            <c:idx val="7"/>
            <c:marker>
              <c:symbol val="circle"/>
              <c:size val="12"/>
              <c:spPr>
                <a:solidFill>
                  <a:srgbClr val="C00000">
                    <a:alpha val="50000"/>
                  </a:srgbClr>
                </a:solidFill>
                <a:ln>
                  <a:noFill/>
                </a:ln>
              </c:spPr>
            </c:marker>
            <c:bubble3D val="0"/>
          </c:dPt>
          <c:dPt>
            <c:idx val="11"/>
            <c:marker>
              <c:symbol val="circle"/>
              <c:size val="12"/>
              <c:spPr>
                <a:solidFill>
                  <a:schemeClr val="accent3">
                    <a:lumMod val="50000"/>
                    <a:alpha val="50196"/>
                  </a:schemeClr>
                </a:solidFill>
                <a:ln>
                  <a:noFill/>
                </a:ln>
              </c:spPr>
            </c:marker>
            <c:bubble3D val="0"/>
          </c:dPt>
          <c:dLbls>
            <c:dLbl>
              <c:idx val="0"/>
              <c:tx>
                <c:strRef>
                  <c:f>'FINAL BIPT &amp; Cullen 2014'!$AZ$57</c:f>
                  <c:strCache>
                    <c:ptCount val="1"/>
                    <c:pt idx="0">
                      <c:v>CH</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
              <c:tx>
                <c:strRef>
                  <c:f>'FINAL BIPT &amp; Cullen 2014'!$AZ$58</c:f>
                  <c:strCache>
                    <c:ptCount val="1"/>
                    <c:pt idx="0">
                      <c:v>DK</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2"/>
              <c:tx>
                <c:strRef>
                  <c:f>'FINAL BIPT &amp; Cullen 2014'!$AZ$59</c:f>
                  <c:strCache>
                    <c:ptCount val="1"/>
                    <c:pt idx="0">
                      <c:v>NL/Brattle</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3"/>
              <c:tx>
                <c:strRef>
                  <c:f>'FINAL BIPT &amp; Cullen 2014'!$AZ$60</c:f>
                  <c:strCache>
                    <c:ptCount val="1"/>
                    <c:pt idx="0">
                      <c:v>NL/Nera</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4"/>
              <c:tx>
                <c:strRef>
                  <c:f>'FINAL BIPT &amp; Cullen 2014'!$AZ$61</c:f>
                  <c:strCache>
                    <c:ptCount val="1"/>
                    <c:pt idx="0">
                      <c:v>FI</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5"/>
              <c:tx>
                <c:strRef>
                  <c:f>'FINAL BIPT &amp; Cullen 2014'!$AZ$62</c:f>
                  <c:strCache>
                    <c:ptCount val="1"/>
                    <c:pt idx="0">
                      <c:v>DE</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6"/>
              <c:tx>
                <c:strRef>
                  <c:f>'FINAL BIPT &amp; Cullen 2014'!$AZ$63</c:f>
                  <c:strCache>
                    <c:ptCount val="1"/>
                    <c:pt idx="0">
                      <c:v>SE</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7"/>
              <c:tx>
                <c:strRef>
                  <c:f>'FINAL BIPT &amp; Cullen 2014'!$AZ$64</c:f>
                  <c:strCache>
                    <c:ptCount val="1"/>
                    <c:pt idx="0">
                      <c:v>BIPT 2014</c:v>
                    </c:pt>
                  </c:strCache>
                </c:strRef>
              </c:tx>
              <c:spPr/>
              <c:txPr>
                <a:bodyPr/>
                <a:lstStyle/>
                <a:p>
                  <a:pPr>
                    <a:defRPr sz="1200" b="1" i="0" strike="noStrike">
                      <a:latin typeface="Arial"/>
                    </a:defRPr>
                  </a:pPr>
                  <a:endParaRPr lang="fr-FR"/>
                </a:p>
              </c:txPr>
              <c:dLblPos val="ctr"/>
              <c:showLegendKey val="0"/>
              <c:showVal val="1"/>
              <c:showCatName val="0"/>
              <c:showSerName val="0"/>
              <c:showPercent val="0"/>
              <c:showBubbleSize val="0"/>
            </c:dLbl>
            <c:dLbl>
              <c:idx val="8"/>
              <c:tx>
                <c:strRef>
                  <c:f>'FINAL BIPT &amp; Cullen 2014'!$AZ$65</c:f>
                  <c:strCache>
                    <c:ptCount val="1"/>
                    <c:pt idx="0">
                      <c:v>IE</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9"/>
              <c:tx>
                <c:strRef>
                  <c:f>'FINAL BIPT &amp; Cullen 2014'!$AZ$66</c:f>
                  <c:strCache>
                    <c:ptCount val="1"/>
                    <c:pt idx="0">
                      <c:v>IT</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0"/>
              <c:tx>
                <c:strRef>
                  <c:f>'FINAL BIPT &amp; Cullen 2014'!$AZ$67</c:f>
                  <c:strCache>
                    <c:ptCount val="1"/>
                    <c:pt idx="0">
                      <c:v>FR</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1"/>
              <c:tx>
                <c:strRef>
                  <c:f>'FINAL BIPT &amp; Cullen 2014'!$AZ$68</c:f>
                  <c:strCache>
                    <c:ptCount val="1"/>
                    <c:pt idx="0">
                      <c:v>BIPT 2010</c:v>
                    </c:pt>
                  </c:strCache>
                </c:strRef>
              </c:tx>
              <c:spPr/>
              <c:txPr>
                <a:bodyPr/>
                <a:lstStyle/>
                <a:p>
                  <a:pPr>
                    <a:defRPr sz="1200" b="1" i="0" strike="noStrike">
                      <a:latin typeface="Arial"/>
                    </a:defRPr>
                  </a:pPr>
                  <a:endParaRPr lang="fr-FR"/>
                </a:p>
              </c:txPr>
              <c:dLblPos val="ctr"/>
              <c:showLegendKey val="0"/>
              <c:showVal val="1"/>
              <c:showCatName val="0"/>
              <c:showSerName val="0"/>
              <c:showPercent val="0"/>
              <c:showBubbleSize val="0"/>
            </c:dLbl>
            <c:dLbl>
              <c:idx val="12"/>
              <c:tx>
                <c:strRef>
                  <c:f>'FINAL BIPT &amp; Cullen 2014'!$AZ$69</c:f>
                  <c:strCache>
                    <c:ptCount val="1"/>
                    <c:pt idx="0">
                      <c:v>UK</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3"/>
              <c:tx>
                <c:strRef>
                  <c:f>'FINAL BIPT &amp; Cullen 2014'!$AZ$70</c:f>
                  <c:strCache>
                    <c:ptCount val="1"/>
                    <c:pt idx="0">
                      <c:v>NO</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4"/>
              <c:tx>
                <c:strRef>
                  <c:f>'FINAL BIPT &amp; Cullen 2014'!$AZ$71</c:f>
                  <c:strCache>
                    <c:ptCount val="1"/>
                    <c:pt idx="0">
                      <c:v>AT</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5"/>
              <c:tx>
                <c:strRef>
                  <c:f>'FINAL BIPT &amp; Cullen 2014'!$AZ$72</c:f>
                  <c:strCache>
                    <c:ptCount val="1"/>
                    <c:pt idx="0">
                      <c:v>ES</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6"/>
              <c:tx>
                <c:strRef>
                  <c:f>'FINAL BIPT &amp; Cullen 2014'!$AZ$73</c:f>
                  <c:strCache>
                    <c:ptCount val="1"/>
                    <c:pt idx="0">
                      <c:v>PT</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7"/>
              <c:tx>
                <c:strRef>
                  <c:f>'FINAL BIPT &amp; Cullen 2014'!$AZ$74</c:f>
                  <c:strCache>
                    <c:ptCount val="1"/>
                    <c:pt idx="0">
                      <c:v>GR</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showLegendKey val="0"/>
            <c:showVal val="1"/>
            <c:showCatName val="0"/>
            <c:showSerName val="0"/>
            <c:showPercent val="0"/>
            <c:showBubbleSize val="0"/>
            <c:showLeaderLines val="0"/>
          </c:dLbls>
          <c:xVal>
            <c:numRef>
              <c:f>'FINAL BIPT &amp; Cullen 2014'!$BA$57:$BA$74</c:f>
              <c:numCache>
                <c:formatCode>[$-809]mmmm\ yyyy;@</c:formatCode>
                <c:ptCount val="18"/>
                <c:pt idx="0">
                  <c:v>41609</c:v>
                </c:pt>
                <c:pt idx="1">
                  <c:v>41607</c:v>
                </c:pt>
                <c:pt idx="2">
                  <c:v>41348</c:v>
                </c:pt>
                <c:pt idx="3">
                  <c:v>41099</c:v>
                </c:pt>
                <c:pt idx="4">
                  <c:v>41761</c:v>
                </c:pt>
                <c:pt idx="5">
                  <c:v>41334</c:v>
                </c:pt>
                <c:pt idx="6">
                  <c:v>41624</c:v>
                </c:pt>
                <c:pt idx="7">
                  <c:v>41852</c:v>
                </c:pt>
                <c:pt idx="8">
                  <c:v>41740</c:v>
                </c:pt>
                <c:pt idx="9">
                  <c:v>41625</c:v>
                </c:pt>
                <c:pt idx="10">
                  <c:v>41303</c:v>
                </c:pt>
                <c:pt idx="11">
                  <c:v>40302</c:v>
                </c:pt>
                <c:pt idx="12">
                  <c:v>41778</c:v>
                </c:pt>
                <c:pt idx="13">
                  <c:v>40453</c:v>
                </c:pt>
                <c:pt idx="14">
                  <c:v>41547</c:v>
                </c:pt>
                <c:pt idx="15">
                  <c:v>41592</c:v>
                </c:pt>
                <c:pt idx="16">
                  <c:v>41621</c:v>
                </c:pt>
                <c:pt idx="17">
                  <c:v>41757</c:v>
                </c:pt>
              </c:numCache>
            </c:numRef>
          </c:xVal>
          <c:yVal>
            <c:numRef>
              <c:f>'FINAL BIPT &amp; Cullen 2014'!$BB$57:$BB$74</c:f>
              <c:numCache>
                <c:formatCode>0.0%</c:formatCode>
                <c:ptCount val="18"/>
                <c:pt idx="0">
                  <c:v>4.4600000000000001E-2</c:v>
                </c:pt>
                <c:pt idx="1">
                  <c:v>4.7E-2</c:v>
                </c:pt>
                <c:pt idx="2">
                  <c:v>6.2E-2</c:v>
                </c:pt>
                <c:pt idx="3">
                  <c:v>6.9917999999999925E-2</c:v>
                </c:pt>
                <c:pt idx="4">
                  <c:v>7.0500000000000007E-2</c:v>
                </c:pt>
                <c:pt idx="5">
                  <c:v>7.0699999999999999E-2</c:v>
                </c:pt>
                <c:pt idx="6">
                  <c:v>7.4999999999999997E-2</c:v>
                </c:pt>
                <c:pt idx="7">
                  <c:v>8.1349159833066037E-2</c:v>
                </c:pt>
                <c:pt idx="8">
                  <c:v>8.48E-2</c:v>
                </c:pt>
                <c:pt idx="9">
                  <c:v>9.3600000000000003E-2</c:v>
                </c:pt>
                <c:pt idx="10">
                  <c:v>9.5000000000000001E-2</c:v>
                </c:pt>
                <c:pt idx="11">
                  <c:v>9.6121785799172826E-2</c:v>
                </c:pt>
                <c:pt idx="12">
                  <c:v>0.1</c:v>
                </c:pt>
                <c:pt idx="13">
                  <c:v>0.10199999999999999</c:v>
                </c:pt>
                <c:pt idx="14">
                  <c:v>0.1053</c:v>
                </c:pt>
                <c:pt idx="15">
                  <c:v>0.1091</c:v>
                </c:pt>
                <c:pt idx="16">
                  <c:v>0.1169</c:v>
                </c:pt>
                <c:pt idx="17">
                  <c:v>0.1226</c:v>
                </c:pt>
              </c:numCache>
            </c:numRef>
          </c:yVal>
          <c:smooth val="0"/>
        </c:ser>
        <c:dLbls>
          <c:showLegendKey val="0"/>
          <c:showVal val="0"/>
          <c:showCatName val="0"/>
          <c:showSerName val="0"/>
          <c:showPercent val="0"/>
          <c:showBubbleSize val="0"/>
        </c:dLbls>
        <c:axId val="115509888"/>
        <c:axId val="115523968"/>
      </c:scatterChart>
      <c:valAx>
        <c:axId val="115509888"/>
        <c:scaling>
          <c:orientation val="minMax"/>
          <c:max val="42031"/>
          <c:min val="40185"/>
        </c:scaling>
        <c:delete val="0"/>
        <c:axPos val="b"/>
        <c:numFmt formatCode="mm/yyyy;@" sourceLinked="0"/>
        <c:majorTickMark val="out"/>
        <c:minorTickMark val="none"/>
        <c:tickLblPos val="nextTo"/>
        <c:crossAx val="115523968"/>
        <c:crosses val="autoZero"/>
        <c:crossBetween val="midCat"/>
        <c:majorUnit val="365"/>
      </c:valAx>
      <c:valAx>
        <c:axId val="115523968"/>
        <c:scaling>
          <c:orientation val="minMax"/>
        </c:scaling>
        <c:delete val="0"/>
        <c:axPos val="l"/>
        <c:majorGridlines>
          <c:spPr>
            <a:ln>
              <a:solidFill>
                <a:schemeClr val="bg1">
                  <a:lumMod val="50000"/>
                </a:schemeClr>
              </a:solidFill>
              <a:prstDash val="dash"/>
            </a:ln>
          </c:spPr>
        </c:majorGridlines>
        <c:numFmt formatCode="0%" sourceLinked="0"/>
        <c:majorTickMark val="out"/>
        <c:minorTickMark val="none"/>
        <c:tickLblPos val="nextTo"/>
        <c:spPr>
          <a:ln>
            <a:solidFill>
              <a:schemeClr val="bg1">
                <a:lumMod val="50000"/>
              </a:schemeClr>
            </a:solidFill>
          </a:ln>
        </c:spPr>
        <c:crossAx val="115509888"/>
        <c:crosses val="autoZero"/>
        <c:crossBetween val="midCat"/>
        <c:majorUnit val="1.0000000000000005E-2"/>
      </c:valAx>
      <c:spPr>
        <a:noFill/>
      </c:spPr>
    </c:plotArea>
    <c:plotVisOnly val="1"/>
    <c:dispBlanksAs val="gap"/>
    <c:showDLblsOverMax val="0"/>
  </c:chart>
  <c:spPr>
    <a:noFill/>
    <a:ln>
      <a:noFill/>
    </a:ln>
  </c:spPr>
  <c:txPr>
    <a:bodyPr/>
    <a:lstStyle/>
    <a:p>
      <a:pPr>
        <a:defRPr sz="1200">
          <a:latin typeface="Arial" pitchFamily="34" charset="0"/>
          <a:cs typeface="Arial" pitchFamily="34" charset="0"/>
        </a:defRPr>
      </a:pPr>
      <a:endParaRPr lang="fr-FR"/>
    </a:p>
  </c:txPr>
  <c:printSettings>
    <c:headerFooter/>
    <c:pageMargins b="0.75000000000001288" l="0.70000000000000062" r="0.70000000000000062" t="0.75000000000001288"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370237973293424E-2"/>
          <c:y val="3.8253598058091254E-2"/>
          <c:w val="0.83067389415343462"/>
          <c:h val="0.87320856286200743"/>
        </c:manualLayout>
      </c:layout>
      <c:scatterChart>
        <c:scatterStyle val="lineMarker"/>
        <c:varyColors val="0"/>
        <c:ser>
          <c:idx val="0"/>
          <c:order val="0"/>
          <c:spPr>
            <a:ln w="28575">
              <a:noFill/>
            </a:ln>
          </c:spPr>
          <c:marker>
            <c:symbol val="circle"/>
            <c:size val="9"/>
            <c:spPr>
              <a:solidFill>
                <a:srgbClr val="FFC000">
                  <a:alpha val="50000"/>
                </a:srgbClr>
              </a:solidFill>
              <a:ln>
                <a:noFill/>
              </a:ln>
            </c:spPr>
          </c:marker>
          <c:dPt>
            <c:idx val="5"/>
            <c:marker>
              <c:symbol val="circle"/>
              <c:size val="12"/>
              <c:spPr>
                <a:solidFill>
                  <a:srgbClr val="CC0000">
                    <a:alpha val="49804"/>
                  </a:srgbClr>
                </a:solidFill>
                <a:ln>
                  <a:noFill/>
                </a:ln>
              </c:spPr>
            </c:marker>
            <c:bubble3D val="0"/>
          </c:dPt>
          <c:dPt>
            <c:idx val="8"/>
            <c:marker>
              <c:symbol val="circle"/>
              <c:size val="11"/>
              <c:spPr>
                <a:solidFill>
                  <a:schemeClr val="accent3">
                    <a:lumMod val="50000"/>
                    <a:alpha val="50000"/>
                  </a:schemeClr>
                </a:solidFill>
                <a:ln>
                  <a:noFill/>
                </a:ln>
              </c:spPr>
            </c:marker>
            <c:bubble3D val="0"/>
          </c:dPt>
          <c:dLbls>
            <c:dLbl>
              <c:idx val="0"/>
              <c:tx>
                <c:strRef>
                  <c:f>'FINAL BIPT &amp; Cullen 2014'!$BP$57</c:f>
                  <c:strCache>
                    <c:ptCount val="1"/>
                    <c:pt idx="0">
                      <c:v>DK</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
              <c:tx>
                <c:strRef>
                  <c:f>'FINAL BIPT &amp; Cullen 2014'!$BP$58</c:f>
                  <c:strCache>
                    <c:ptCount val="1"/>
                    <c:pt idx="0">
                      <c:v>NL/Brattle</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2"/>
              <c:tx>
                <c:strRef>
                  <c:f>'FINAL BIPT &amp; Cullen 2014'!$BP$59</c:f>
                  <c:strCache>
                    <c:ptCount val="1"/>
                    <c:pt idx="0">
                      <c:v>DE</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3"/>
              <c:tx>
                <c:strRef>
                  <c:f>'FINAL BIPT &amp; Cullen 2014'!$BP$60</c:f>
                  <c:strCache>
                    <c:ptCount val="1"/>
                    <c:pt idx="0">
                      <c:v>FI</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4"/>
              <c:tx>
                <c:strRef>
                  <c:f>'FINAL BIPT &amp; Cullen 2014'!$BP$61</c:f>
                  <c:strCache>
                    <c:ptCount val="1"/>
                    <c:pt idx="0">
                      <c:v>SE</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5"/>
              <c:tx>
                <c:strRef>
                  <c:f>'FINAL BIPT &amp; Cullen 2014'!$BP$62</c:f>
                  <c:strCache>
                    <c:ptCount val="1"/>
                    <c:pt idx="0">
                      <c:v>BIPT 2014</c:v>
                    </c:pt>
                  </c:strCache>
                </c:strRef>
              </c:tx>
              <c:spPr/>
              <c:txPr>
                <a:bodyPr/>
                <a:lstStyle/>
                <a:p>
                  <a:pPr>
                    <a:defRPr sz="1200" b="1" i="0" strike="noStrike">
                      <a:latin typeface="Arial"/>
                    </a:defRPr>
                  </a:pPr>
                  <a:endParaRPr lang="fr-FR"/>
                </a:p>
              </c:txPr>
              <c:dLblPos val="ctr"/>
              <c:showLegendKey val="0"/>
              <c:showVal val="1"/>
              <c:showCatName val="0"/>
              <c:showSerName val="0"/>
              <c:showPercent val="0"/>
              <c:showBubbleSize val="0"/>
            </c:dLbl>
            <c:dLbl>
              <c:idx val="6"/>
              <c:tx>
                <c:strRef>
                  <c:f>'FINAL BIPT &amp; Cullen 2014'!$BP$63</c:f>
                  <c:strCache>
                    <c:ptCount val="1"/>
                    <c:pt idx="0">
                      <c:v>IE</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7"/>
              <c:tx>
                <c:strRef>
                  <c:f>'FINAL BIPT &amp; Cullen 2014'!$BP$64</c:f>
                  <c:strCache>
                    <c:ptCount val="1"/>
                    <c:pt idx="0">
                      <c:v>UK</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8"/>
              <c:tx>
                <c:strRef>
                  <c:f>'FINAL BIPT &amp; Cullen 2014'!$BP$65</c:f>
                  <c:strCache>
                    <c:ptCount val="1"/>
                    <c:pt idx="0">
                      <c:v>BIPT 2010</c:v>
                    </c:pt>
                  </c:strCache>
                </c:strRef>
              </c:tx>
              <c:spPr/>
              <c:txPr>
                <a:bodyPr/>
                <a:lstStyle/>
                <a:p>
                  <a:pPr>
                    <a:defRPr sz="1200" b="1" i="0" strike="noStrike">
                      <a:latin typeface="Arial"/>
                    </a:defRPr>
                  </a:pPr>
                  <a:endParaRPr lang="fr-FR"/>
                </a:p>
              </c:txPr>
              <c:dLblPos val="ctr"/>
              <c:showLegendKey val="0"/>
              <c:showVal val="1"/>
              <c:showCatName val="0"/>
              <c:showSerName val="0"/>
              <c:showPercent val="0"/>
              <c:showBubbleSize val="0"/>
            </c:dLbl>
            <c:dLbl>
              <c:idx val="9"/>
              <c:tx>
                <c:strRef>
                  <c:f>'FINAL BIPT &amp; Cullen 2014'!$BP$66</c:f>
                  <c:strCache>
                    <c:ptCount val="1"/>
                    <c:pt idx="0">
                      <c:v>ES</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0"/>
              <c:tx>
                <c:strRef>
                  <c:f>'FINAL BIPT &amp; Cullen 2014'!$BP$67</c:f>
                  <c:strCache>
                    <c:ptCount val="1"/>
                    <c:pt idx="0">
                      <c:v>FR</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1"/>
              <c:tx>
                <c:strRef>
                  <c:f>'FINAL BIPT &amp; Cullen 2014'!$BP$68</c:f>
                  <c:strCache>
                    <c:ptCount val="1"/>
                    <c:pt idx="0">
                      <c:v>IT</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2"/>
              <c:tx>
                <c:strRef>
                  <c:f>'FINAL BIPT &amp; Cullen 2014'!$BP$69</c:f>
                  <c:strCache>
                    <c:ptCount val="1"/>
                    <c:pt idx="0">
                      <c:v>PT</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3"/>
              <c:tx>
                <c:strRef>
                  <c:f>'FINAL BIPT &amp; Cullen 2014'!$BP$70</c:f>
                  <c:strCache>
                    <c:ptCount val="1"/>
                    <c:pt idx="0">
                      <c:v>AT</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4"/>
              <c:tx>
                <c:strRef>
                  <c:f>'FINAL BIPT &amp; Cullen 2014'!$BP$71</c:f>
                  <c:strCache>
                    <c:ptCount val="1"/>
                    <c:pt idx="0">
                      <c:v>NO</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dLbl>
              <c:idx val="15"/>
              <c:tx>
                <c:strRef>
                  <c:f>'FINAL BIPT &amp; Cullen 2014'!$BP$72</c:f>
                  <c:strCache>
                    <c:ptCount val="1"/>
                    <c:pt idx="0">
                      <c:v>GR</c:v>
                    </c:pt>
                  </c:strCache>
                </c:strRef>
              </c:tx>
              <c:spPr/>
              <c:txPr>
                <a:bodyPr/>
                <a:lstStyle/>
                <a:p>
                  <a:pPr>
                    <a:defRPr sz="1000" b="0" i="0" strike="noStrike">
                      <a:latin typeface="Arial"/>
                    </a:defRPr>
                  </a:pPr>
                  <a:endParaRPr lang="fr-FR"/>
                </a:p>
              </c:txPr>
              <c:dLblPos val="ctr"/>
              <c:showLegendKey val="0"/>
              <c:showVal val="1"/>
              <c:showCatName val="0"/>
              <c:showSerName val="0"/>
              <c:showPercent val="0"/>
              <c:showBubbleSize val="0"/>
            </c:dLbl>
            <c:showLegendKey val="0"/>
            <c:showVal val="1"/>
            <c:showCatName val="0"/>
            <c:showSerName val="0"/>
            <c:showPercent val="0"/>
            <c:showBubbleSize val="0"/>
            <c:showLeaderLines val="0"/>
          </c:dLbls>
          <c:xVal>
            <c:numRef>
              <c:f>'FINAL BIPT &amp; Cullen 2014'!$BQ$57:$BQ$72</c:f>
              <c:numCache>
                <c:formatCode>[$-809]mmmm\ yyyy;@</c:formatCode>
                <c:ptCount val="16"/>
                <c:pt idx="0">
                  <c:v>41563</c:v>
                </c:pt>
                <c:pt idx="1">
                  <c:v>41348</c:v>
                </c:pt>
                <c:pt idx="2">
                  <c:v>41275</c:v>
                </c:pt>
                <c:pt idx="3">
                  <c:v>41761</c:v>
                </c:pt>
                <c:pt idx="4">
                  <c:v>41740</c:v>
                </c:pt>
                <c:pt idx="5">
                  <c:v>41852</c:v>
                </c:pt>
                <c:pt idx="6">
                  <c:v>41740</c:v>
                </c:pt>
                <c:pt idx="7">
                  <c:v>40617</c:v>
                </c:pt>
                <c:pt idx="8">
                  <c:v>40302</c:v>
                </c:pt>
                <c:pt idx="9">
                  <c:v>41592</c:v>
                </c:pt>
                <c:pt idx="10">
                  <c:v>41303</c:v>
                </c:pt>
                <c:pt idx="11">
                  <c:v>40864</c:v>
                </c:pt>
                <c:pt idx="12">
                  <c:v>41029</c:v>
                </c:pt>
                <c:pt idx="13">
                  <c:v>41547</c:v>
                </c:pt>
                <c:pt idx="14">
                  <c:v>41624</c:v>
                </c:pt>
                <c:pt idx="15">
                  <c:v>41757</c:v>
                </c:pt>
              </c:numCache>
            </c:numRef>
          </c:xVal>
          <c:yVal>
            <c:numRef>
              <c:f>'FINAL BIPT &amp; Cullen 2014'!$BR$57:$BR$72</c:f>
              <c:numCache>
                <c:formatCode>0.0%</c:formatCode>
                <c:ptCount val="16"/>
                <c:pt idx="0">
                  <c:v>4.4699999999999997E-2</c:v>
                </c:pt>
                <c:pt idx="1">
                  <c:v>6.7000000000000004E-2</c:v>
                </c:pt>
                <c:pt idx="2">
                  <c:v>7.0699999999999999E-2</c:v>
                </c:pt>
                <c:pt idx="3">
                  <c:v>7.6500000000000012E-2</c:v>
                </c:pt>
                <c:pt idx="4">
                  <c:v>7.8E-2</c:v>
                </c:pt>
                <c:pt idx="5">
                  <c:v>8.1314444978701092E-2</c:v>
                </c:pt>
                <c:pt idx="6">
                  <c:v>8.6599999999999996E-2</c:v>
                </c:pt>
                <c:pt idx="7">
                  <c:v>8.8999999999999996E-2</c:v>
                </c:pt>
                <c:pt idx="8">
                  <c:v>0.1004917173404925</c:v>
                </c:pt>
                <c:pt idx="9">
                  <c:v>0.10059999999999999</c:v>
                </c:pt>
                <c:pt idx="10">
                  <c:v>0.104</c:v>
                </c:pt>
                <c:pt idx="11">
                  <c:v>0.104</c:v>
                </c:pt>
                <c:pt idx="12">
                  <c:v>0.111</c:v>
                </c:pt>
                <c:pt idx="13">
                  <c:v>0.1137</c:v>
                </c:pt>
                <c:pt idx="14">
                  <c:v>0.11799999999999999</c:v>
                </c:pt>
                <c:pt idx="15">
                  <c:v>0.1429</c:v>
                </c:pt>
              </c:numCache>
            </c:numRef>
          </c:yVal>
          <c:smooth val="0"/>
        </c:ser>
        <c:dLbls>
          <c:showLegendKey val="0"/>
          <c:showVal val="0"/>
          <c:showCatName val="0"/>
          <c:showSerName val="0"/>
          <c:showPercent val="0"/>
          <c:showBubbleSize val="0"/>
        </c:dLbls>
        <c:axId val="115261824"/>
        <c:axId val="115263360"/>
      </c:scatterChart>
      <c:valAx>
        <c:axId val="115261824"/>
        <c:scaling>
          <c:orientation val="minMax"/>
          <c:max val="42031"/>
          <c:min val="40185"/>
        </c:scaling>
        <c:delete val="0"/>
        <c:axPos val="b"/>
        <c:numFmt formatCode="mm/yyyy;@" sourceLinked="0"/>
        <c:majorTickMark val="out"/>
        <c:minorTickMark val="none"/>
        <c:tickLblPos val="nextTo"/>
        <c:crossAx val="115263360"/>
        <c:crosses val="autoZero"/>
        <c:crossBetween val="midCat"/>
        <c:majorUnit val="365"/>
      </c:valAx>
      <c:valAx>
        <c:axId val="115263360"/>
        <c:scaling>
          <c:orientation val="minMax"/>
          <c:max val="0.15000000000000024"/>
        </c:scaling>
        <c:delete val="0"/>
        <c:axPos val="l"/>
        <c:majorGridlines>
          <c:spPr>
            <a:ln>
              <a:solidFill>
                <a:schemeClr val="bg1">
                  <a:lumMod val="50000"/>
                </a:schemeClr>
              </a:solidFill>
              <a:prstDash val="dash"/>
            </a:ln>
          </c:spPr>
        </c:majorGridlines>
        <c:numFmt formatCode="0%" sourceLinked="0"/>
        <c:majorTickMark val="out"/>
        <c:minorTickMark val="none"/>
        <c:tickLblPos val="nextTo"/>
        <c:spPr>
          <a:ln>
            <a:solidFill>
              <a:schemeClr val="bg1">
                <a:lumMod val="50000"/>
              </a:schemeClr>
            </a:solidFill>
          </a:ln>
        </c:spPr>
        <c:crossAx val="115261824"/>
        <c:crosses val="autoZero"/>
        <c:crossBetween val="midCat"/>
        <c:majorUnit val="1.0000000000000005E-2"/>
      </c:valAx>
    </c:plotArea>
    <c:plotVisOnly val="1"/>
    <c:dispBlanksAs val="gap"/>
    <c:showDLblsOverMax val="0"/>
  </c:chart>
  <c:spPr>
    <a:noFill/>
    <a:ln>
      <a:noFill/>
    </a:ln>
  </c:spPr>
  <c:txPr>
    <a:bodyPr/>
    <a:lstStyle/>
    <a:p>
      <a:pPr>
        <a:defRPr sz="1200">
          <a:latin typeface="Arial" pitchFamily="34" charset="0"/>
          <a:cs typeface="Arial" pitchFamily="34" charset="0"/>
        </a:defRPr>
      </a:pPr>
      <a:endParaRPr lang="fr-FR"/>
    </a:p>
  </c:txPr>
  <c:printSettings>
    <c:headerFooter/>
    <c:pageMargins b="0.7500000000000131" l="0.70000000000000062" r="0.70000000000000062" t="0.750000000000013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75795765252846"/>
          <c:y val="9.076848277042162E-3"/>
          <c:w val="0.78266333514925757"/>
          <c:h val="0.90661272089816858"/>
        </c:manualLayout>
      </c:layout>
      <c:barChart>
        <c:barDir val="bar"/>
        <c:grouping val="stacked"/>
        <c:varyColors val="0"/>
        <c:ser>
          <c:idx val="0"/>
          <c:order val="0"/>
          <c:spPr>
            <a:solidFill>
              <a:schemeClr val="bg2">
                <a:lumMod val="90000"/>
              </a:schemeClr>
            </a:solidFill>
          </c:spPr>
          <c:invertIfNegative val="0"/>
          <c:dPt>
            <c:idx val="5"/>
            <c:invertIfNegative val="0"/>
            <c:bubble3D val="0"/>
            <c:spPr>
              <a:solidFill>
                <a:srgbClr val="C00000"/>
              </a:solidFill>
            </c:spPr>
          </c:dPt>
          <c:dPt>
            <c:idx val="8"/>
            <c:invertIfNegative val="0"/>
            <c:bubble3D val="0"/>
            <c:spPr>
              <a:solidFill>
                <a:schemeClr val="accent3">
                  <a:lumMod val="50000"/>
                </a:schemeClr>
              </a:solidFill>
            </c:spPr>
          </c:dPt>
          <c:dLbls>
            <c:dLbl>
              <c:idx val="4"/>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5"/>
              <c:spPr/>
              <c:txPr>
                <a:bodyPr/>
                <a:lstStyle/>
                <a:p>
                  <a:pPr>
                    <a:defRPr sz="1200">
                      <a:solidFill>
                        <a:schemeClr val="bg1"/>
                      </a:solidFill>
                    </a:defRPr>
                  </a:pPr>
                  <a:endParaRPr lang="fr-FR"/>
                </a:p>
              </c:txPr>
              <c:showLegendKey val="0"/>
              <c:showVal val="1"/>
              <c:showCatName val="0"/>
              <c:showSerName val="0"/>
              <c:showPercent val="0"/>
              <c:showBubbleSize val="0"/>
            </c:dLbl>
            <c:dLbl>
              <c:idx val="6"/>
              <c:spPr/>
              <c:txPr>
                <a:bodyPr/>
                <a:lstStyle/>
                <a:p>
                  <a:pPr>
                    <a:defRPr sz="1000">
                      <a:solidFill>
                        <a:sysClr val="windowText" lastClr="000000"/>
                      </a:solidFill>
                    </a:defRPr>
                  </a:pPr>
                  <a:endParaRPr lang="fr-FR"/>
                </a:p>
              </c:txPr>
              <c:showLegendKey val="0"/>
              <c:showVal val="1"/>
              <c:showCatName val="0"/>
              <c:showSerName val="0"/>
              <c:showPercent val="0"/>
              <c:showBubbleSize val="0"/>
            </c:dLbl>
            <c:dLbl>
              <c:idx val="8"/>
              <c:spPr/>
              <c:txPr>
                <a:bodyPr/>
                <a:lstStyle/>
                <a:p>
                  <a:pPr>
                    <a:defRPr sz="1200">
                      <a:solidFill>
                        <a:schemeClr val="bg1"/>
                      </a:solidFill>
                    </a:defRPr>
                  </a:pPr>
                  <a:endParaRPr lang="fr-FR"/>
                </a:p>
              </c:txPr>
              <c:showLegendKey val="0"/>
              <c:showVal val="1"/>
              <c:showCatName val="0"/>
              <c:showSerName val="0"/>
              <c:showPercent val="0"/>
              <c:showBubbleSize val="0"/>
            </c:dLbl>
            <c:dLbl>
              <c:idx val="10"/>
              <c:spPr/>
              <c:txPr>
                <a:bodyPr/>
                <a:lstStyle/>
                <a:p>
                  <a:pPr>
                    <a:defRPr sz="1000">
                      <a:solidFill>
                        <a:sysClr val="windowText" lastClr="000000"/>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2014'!$BP$57:$BP$72</c:f>
              <c:strCache>
                <c:ptCount val="16"/>
                <c:pt idx="0">
                  <c:v>DK</c:v>
                </c:pt>
                <c:pt idx="1">
                  <c:v>NL/Brattle</c:v>
                </c:pt>
                <c:pt idx="2">
                  <c:v>DE</c:v>
                </c:pt>
                <c:pt idx="3">
                  <c:v>FI</c:v>
                </c:pt>
                <c:pt idx="4">
                  <c:v>SE</c:v>
                </c:pt>
                <c:pt idx="5">
                  <c:v>BIPT 2014</c:v>
                </c:pt>
                <c:pt idx="6">
                  <c:v>IE</c:v>
                </c:pt>
                <c:pt idx="7">
                  <c:v>UK</c:v>
                </c:pt>
                <c:pt idx="8">
                  <c:v>BIPT 2010</c:v>
                </c:pt>
                <c:pt idx="9">
                  <c:v>ES</c:v>
                </c:pt>
                <c:pt idx="10">
                  <c:v>FR</c:v>
                </c:pt>
                <c:pt idx="11">
                  <c:v>IT</c:v>
                </c:pt>
                <c:pt idx="12">
                  <c:v>PT</c:v>
                </c:pt>
                <c:pt idx="13">
                  <c:v>AT</c:v>
                </c:pt>
                <c:pt idx="14">
                  <c:v>NO</c:v>
                </c:pt>
                <c:pt idx="15">
                  <c:v>GR</c:v>
                </c:pt>
              </c:strCache>
            </c:strRef>
          </c:cat>
          <c:val>
            <c:numRef>
              <c:f>'FINAL BIPT &amp; Cullen 2014'!$BS$57:$BS$72</c:f>
              <c:numCache>
                <c:formatCode>0.0%</c:formatCode>
                <c:ptCount val="16"/>
                <c:pt idx="0">
                  <c:v>4.4699999999999997E-2</c:v>
                </c:pt>
                <c:pt idx="1">
                  <c:v>6.7000000000000004E-2</c:v>
                </c:pt>
                <c:pt idx="2">
                  <c:v>7.0699999999999999E-2</c:v>
                </c:pt>
                <c:pt idx="3">
                  <c:v>7.0000000000000007E-2</c:v>
                </c:pt>
                <c:pt idx="4">
                  <c:v>7.8E-2</c:v>
                </c:pt>
                <c:pt idx="5">
                  <c:v>8.1314444978701092E-2</c:v>
                </c:pt>
                <c:pt idx="6">
                  <c:v>8.6599999999999996E-2</c:v>
                </c:pt>
                <c:pt idx="7">
                  <c:v>8.8999999999999996E-2</c:v>
                </c:pt>
                <c:pt idx="8">
                  <c:v>0.1004917173404925</c:v>
                </c:pt>
                <c:pt idx="9">
                  <c:v>9.2100000000000001E-2</c:v>
                </c:pt>
                <c:pt idx="10">
                  <c:v>0.104</c:v>
                </c:pt>
                <c:pt idx="11">
                  <c:v>0.104</c:v>
                </c:pt>
                <c:pt idx="12">
                  <c:v>0.111</c:v>
                </c:pt>
                <c:pt idx="13">
                  <c:v>0.1137</c:v>
                </c:pt>
                <c:pt idx="14">
                  <c:v>0.11799999999999999</c:v>
                </c:pt>
                <c:pt idx="15">
                  <c:v>0.1429</c:v>
                </c:pt>
              </c:numCache>
            </c:numRef>
          </c:val>
        </c:ser>
        <c:ser>
          <c:idx val="1"/>
          <c:order val="1"/>
          <c:spPr>
            <a:solidFill>
              <a:schemeClr val="bg2"/>
            </a:solidFill>
          </c:spPr>
          <c:invertIfNegative val="0"/>
          <c:dLbls>
            <c:dLbl>
              <c:idx val="3"/>
              <c:tx>
                <c:rich>
                  <a:bodyPr/>
                  <a:lstStyle/>
                  <a:p>
                    <a:r>
                      <a:rPr lang="en-US"/>
                      <a:t>8.3%</a:t>
                    </a:r>
                  </a:p>
                </c:rich>
              </c:tx>
              <c:showLegendKey val="0"/>
              <c:showVal val="1"/>
              <c:showCatName val="0"/>
              <c:showSerName val="0"/>
              <c:showPercent val="0"/>
              <c:showBubbleSize val="0"/>
            </c:dLbl>
            <c:dLbl>
              <c:idx val="7"/>
              <c:tx>
                <c:rich>
                  <a:bodyPr/>
                  <a:lstStyle/>
                  <a:p>
                    <a:r>
                      <a:rPr lang="en-US"/>
                      <a:t>10.5%</a:t>
                    </a:r>
                  </a:p>
                </c:rich>
              </c:tx>
              <c:showLegendKey val="0"/>
              <c:showVal val="1"/>
              <c:showCatName val="0"/>
              <c:showSerName val="0"/>
              <c:showPercent val="0"/>
              <c:showBubbleSize val="0"/>
            </c:dLbl>
            <c:dLbl>
              <c:idx val="9"/>
              <c:tx>
                <c:rich>
                  <a:bodyPr/>
                  <a:lstStyle/>
                  <a:p>
                    <a:r>
                      <a:rPr lang="en-US"/>
                      <a:t>10,9%</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'FINAL BIPT &amp; Cullen 2014'!$BP$57:$BP$72</c:f>
              <c:strCache>
                <c:ptCount val="16"/>
                <c:pt idx="0">
                  <c:v>DK</c:v>
                </c:pt>
                <c:pt idx="1">
                  <c:v>NL/Brattle</c:v>
                </c:pt>
                <c:pt idx="2">
                  <c:v>DE</c:v>
                </c:pt>
                <c:pt idx="3">
                  <c:v>FI</c:v>
                </c:pt>
                <c:pt idx="4">
                  <c:v>SE</c:v>
                </c:pt>
                <c:pt idx="5">
                  <c:v>BIPT 2014</c:v>
                </c:pt>
                <c:pt idx="6">
                  <c:v>IE</c:v>
                </c:pt>
                <c:pt idx="7">
                  <c:v>UK</c:v>
                </c:pt>
                <c:pt idx="8">
                  <c:v>BIPT 2010</c:v>
                </c:pt>
                <c:pt idx="9">
                  <c:v>ES</c:v>
                </c:pt>
                <c:pt idx="10">
                  <c:v>FR</c:v>
                </c:pt>
                <c:pt idx="11">
                  <c:v>IT</c:v>
                </c:pt>
                <c:pt idx="12">
                  <c:v>PT</c:v>
                </c:pt>
                <c:pt idx="13">
                  <c:v>AT</c:v>
                </c:pt>
                <c:pt idx="14">
                  <c:v>NO</c:v>
                </c:pt>
                <c:pt idx="15">
                  <c:v>GR</c:v>
                </c:pt>
              </c:strCache>
            </c:strRef>
          </c:cat>
          <c:val>
            <c:numRef>
              <c:f>'FINAL BIPT &amp; Cullen 2014'!$BT$57:$BT$71</c:f>
              <c:numCache>
                <c:formatCode>0.0%</c:formatCode>
                <c:ptCount val="15"/>
                <c:pt idx="3">
                  <c:v>1.2999999999999999E-2</c:v>
                </c:pt>
                <c:pt idx="9">
                  <c:v>1.6999999999999987E-2</c:v>
                </c:pt>
              </c:numCache>
            </c:numRef>
          </c:val>
        </c:ser>
        <c:dLbls>
          <c:showLegendKey val="0"/>
          <c:showVal val="0"/>
          <c:showCatName val="0"/>
          <c:showSerName val="0"/>
          <c:showPercent val="0"/>
          <c:showBubbleSize val="0"/>
        </c:dLbls>
        <c:gapWidth val="72"/>
        <c:overlap val="100"/>
        <c:axId val="114852992"/>
        <c:axId val="114854528"/>
      </c:barChart>
      <c:catAx>
        <c:axId val="114852992"/>
        <c:scaling>
          <c:orientation val="minMax"/>
        </c:scaling>
        <c:delete val="0"/>
        <c:axPos val="l"/>
        <c:majorTickMark val="out"/>
        <c:minorTickMark val="none"/>
        <c:tickLblPos val="nextTo"/>
        <c:txPr>
          <a:bodyPr/>
          <a:lstStyle/>
          <a:p>
            <a:pPr>
              <a:defRPr sz="1200"/>
            </a:pPr>
            <a:endParaRPr lang="fr-FR"/>
          </a:p>
        </c:txPr>
        <c:crossAx val="114854528"/>
        <c:crosses val="autoZero"/>
        <c:auto val="1"/>
        <c:lblAlgn val="ctr"/>
        <c:lblOffset val="100"/>
        <c:noMultiLvlLbl val="0"/>
      </c:catAx>
      <c:valAx>
        <c:axId val="114854528"/>
        <c:scaling>
          <c:orientation val="minMax"/>
          <c:max val="0.15000000000000024"/>
          <c:min val="0"/>
        </c:scaling>
        <c:delete val="0"/>
        <c:axPos val="b"/>
        <c:majorGridlines>
          <c:spPr>
            <a:ln>
              <a:solidFill>
                <a:schemeClr val="bg1">
                  <a:lumMod val="50000"/>
                </a:schemeClr>
              </a:solidFill>
              <a:prstDash val="dash"/>
            </a:ln>
          </c:spPr>
        </c:majorGridlines>
        <c:numFmt formatCode="0%" sourceLinked="0"/>
        <c:majorTickMark val="out"/>
        <c:minorTickMark val="cross"/>
        <c:tickLblPos val="nextTo"/>
        <c:txPr>
          <a:bodyPr/>
          <a:lstStyle/>
          <a:p>
            <a:pPr>
              <a:defRPr sz="1200"/>
            </a:pPr>
            <a:endParaRPr lang="fr-FR"/>
          </a:p>
        </c:txPr>
        <c:crossAx val="114852992"/>
        <c:crosses val="autoZero"/>
        <c:crossBetween val="between"/>
        <c:majorUnit val="1.0000000000000005E-2"/>
        <c:minorUnit val="1.0000000000000005E-2"/>
      </c:valAx>
    </c:plotArea>
    <c:plotVisOnly val="1"/>
    <c:dispBlanksAs val="gap"/>
    <c:showDLblsOverMax val="0"/>
  </c:chart>
  <c:spPr>
    <a:noFill/>
    <a:ln>
      <a:noFill/>
    </a:ln>
  </c:spPr>
  <c:txPr>
    <a:bodyPr/>
    <a:lstStyle/>
    <a:p>
      <a:pPr>
        <a:defRPr>
          <a:latin typeface="Arial" pitchFamily="34" charset="0"/>
          <a:cs typeface="Arial" pitchFamily="34" charset="0"/>
        </a:defRPr>
      </a:pPr>
      <a:endParaRPr lang="fr-FR"/>
    </a:p>
  </c:txPr>
  <c:printSettings>
    <c:headerFooter/>
    <c:pageMargins b="0.75000000000001332" l="0.70000000000000062" r="0.70000000000000062" t="0.75000000000001332"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chemeClr val="bg2">
                <a:lumMod val="90000"/>
              </a:schemeClr>
            </a:solidFill>
          </c:spPr>
          <c:invertIfNegative val="0"/>
          <c:dPt>
            <c:idx val="8"/>
            <c:invertIfNegative val="0"/>
            <c:bubble3D val="0"/>
            <c:spPr>
              <a:solidFill>
                <a:schemeClr val="accent3">
                  <a:lumMod val="50000"/>
                </a:schemeClr>
              </a:solidFill>
            </c:spPr>
          </c:dPt>
          <c:dLbls>
            <c:dLbl>
              <c:idx val="2"/>
              <c:layout>
                <c:manualLayout>
                  <c:x val="1.0775694198970639E-2"/>
                  <c:y val="2.8901740681294801E-3"/>
                </c:manualLayout>
              </c:layout>
              <c:showLegendKey val="0"/>
              <c:showVal val="1"/>
              <c:showCatName val="0"/>
              <c:showSerName val="0"/>
              <c:showPercent val="0"/>
              <c:showBubbleSize val="0"/>
            </c:dLbl>
            <c:dLbl>
              <c:idx val="3"/>
              <c:layout>
                <c:manualLayout>
                  <c:x val="8.6205214194477048E-3"/>
                  <c:y val="2.8901740681294801E-3"/>
                </c:manualLayout>
              </c:layout>
              <c:showLegendKey val="0"/>
              <c:showVal val="1"/>
              <c:showCatName val="0"/>
              <c:showSerName val="0"/>
              <c:showPercent val="0"/>
              <c:showBubbleSize val="0"/>
            </c:dLbl>
            <c:dLbl>
              <c:idx val="4"/>
              <c:layout>
                <c:manualLayout>
                  <c:x val="1.7220409693115491E-2"/>
                  <c:y val="2.8904506078084821E-3"/>
                </c:manualLayout>
              </c:layout>
              <c:spPr>
                <a:solidFill>
                  <a:srgbClr val="CC0000"/>
                </a:solidFill>
              </c:spPr>
              <c:txPr>
                <a:bodyPr/>
                <a:lstStyle/>
                <a:p>
                  <a:pPr>
                    <a:defRPr sz="1200">
                      <a:solidFill>
                        <a:schemeClr val="bg1"/>
                      </a:solidFill>
                    </a:defRPr>
                  </a:pPr>
                  <a:endParaRPr lang="fr-FR"/>
                </a:p>
              </c:txPr>
              <c:showLegendKey val="0"/>
              <c:showVal val="1"/>
              <c:showCatName val="0"/>
              <c:showSerName val="0"/>
              <c:showPercent val="0"/>
              <c:showBubbleSize val="0"/>
            </c:dLbl>
            <c:dLbl>
              <c:idx val="5"/>
              <c:layout>
                <c:manualLayout>
                  <c:x val="6.4467137850803989E-3"/>
                  <c:y val="0"/>
                </c:manualLayout>
              </c:layout>
              <c:showLegendKey val="0"/>
              <c:showVal val="1"/>
              <c:showCatName val="0"/>
              <c:showSerName val="0"/>
              <c:showPercent val="0"/>
              <c:showBubbleSize val="0"/>
            </c:dLbl>
            <c:dLbl>
              <c:idx val="6"/>
              <c:layout>
                <c:manualLayout>
                  <c:x val="6.5044417830950581E-3"/>
                  <c:y val="6.4555010782992332E-5"/>
                </c:manualLayout>
              </c:layout>
              <c:spPr/>
              <c:txPr>
                <a:bodyPr/>
                <a:lstStyle/>
                <a:p>
                  <a:pPr>
                    <a:defRPr sz="1000" b="0">
                      <a:solidFill>
                        <a:schemeClr val="tx1"/>
                      </a:solidFill>
                    </a:defRPr>
                  </a:pPr>
                  <a:endParaRPr lang="fr-FR"/>
                </a:p>
              </c:txPr>
              <c:showLegendKey val="0"/>
              <c:showVal val="1"/>
              <c:showCatName val="0"/>
              <c:showSerName val="0"/>
              <c:showPercent val="0"/>
              <c:showBubbleSize val="0"/>
            </c:dLbl>
            <c:dLbl>
              <c:idx val="7"/>
              <c:layout>
                <c:manualLayout>
                  <c:x val="0"/>
                  <c:y val="2.9704133646152554E-3"/>
                </c:manualLayout>
              </c:layout>
              <c:showLegendKey val="0"/>
              <c:showVal val="1"/>
              <c:showCatName val="0"/>
              <c:showSerName val="0"/>
              <c:showPercent val="0"/>
              <c:showBubbleSize val="0"/>
            </c:dLbl>
            <c:dLbl>
              <c:idx val="8"/>
              <c:spPr/>
              <c:txPr>
                <a:bodyPr/>
                <a:lstStyle/>
                <a:p>
                  <a:pPr>
                    <a:defRPr sz="1200">
                      <a:solidFill>
                        <a:schemeClr val="bg1"/>
                      </a:solidFill>
                    </a:defRPr>
                  </a:pPr>
                  <a:endParaRPr lang="fr-FR"/>
                </a:p>
              </c:txPr>
              <c:showLegendKey val="0"/>
              <c:showVal val="1"/>
              <c:showCatName val="0"/>
              <c:showSerName val="0"/>
              <c:showPercent val="0"/>
              <c:showBubbleSize val="0"/>
            </c:dLbl>
            <c:txPr>
              <a:bodyPr/>
              <a:lstStyle/>
              <a:p>
                <a:pPr>
                  <a:defRPr sz="1000">
                    <a:solidFill>
                      <a:sysClr val="windowText" lastClr="000000"/>
                    </a:solidFill>
                  </a:defRPr>
                </a:pPr>
                <a:endParaRPr lang="fr-FR"/>
              </a:p>
            </c:txPr>
            <c:showLegendKey val="0"/>
            <c:showVal val="1"/>
            <c:showCatName val="0"/>
            <c:showSerName val="0"/>
            <c:showPercent val="0"/>
            <c:showBubbleSize val="0"/>
            <c:showLeaderLines val="0"/>
          </c:dLbls>
          <c:cat>
            <c:strRef>
              <c:f>'FINAL BIPT &amp; Cullen 2014'!$CF$57:$CF$72</c:f>
              <c:strCache>
                <c:ptCount val="16"/>
                <c:pt idx="0">
                  <c:v>UK</c:v>
                </c:pt>
                <c:pt idx="1">
                  <c:v>ES</c:v>
                </c:pt>
                <c:pt idx="2">
                  <c:v>PT</c:v>
                </c:pt>
                <c:pt idx="3">
                  <c:v>DK</c:v>
                </c:pt>
                <c:pt idx="4">
                  <c:v>BIPT 2014</c:v>
                </c:pt>
                <c:pt idx="5">
                  <c:v>DE</c:v>
                </c:pt>
                <c:pt idx="6">
                  <c:v>IE</c:v>
                </c:pt>
                <c:pt idx="7">
                  <c:v>SE</c:v>
                </c:pt>
                <c:pt idx="8">
                  <c:v>BIPT 2010</c:v>
                </c:pt>
                <c:pt idx="9">
                  <c:v>NL/Brattle</c:v>
                </c:pt>
                <c:pt idx="10">
                  <c:v>FI</c:v>
                </c:pt>
                <c:pt idx="11">
                  <c:v>AT</c:v>
                </c:pt>
                <c:pt idx="12">
                  <c:v>FR</c:v>
                </c:pt>
                <c:pt idx="13">
                  <c:v>IT</c:v>
                </c:pt>
                <c:pt idx="14">
                  <c:v>NO</c:v>
                </c:pt>
                <c:pt idx="15">
                  <c:v>GR</c:v>
                </c:pt>
              </c:strCache>
            </c:strRef>
          </c:cat>
          <c:val>
            <c:numRef>
              <c:f>'FINAL BIPT &amp; Cullen 2014'!$CI$57:$CI$72</c:f>
              <c:numCache>
                <c:formatCode>0.0%</c:formatCode>
                <c:ptCount val="16"/>
                <c:pt idx="0">
                  <c:v>-1.100000000000001E-2</c:v>
                </c:pt>
                <c:pt idx="1">
                  <c:v>-8.5000000000000075E-3</c:v>
                </c:pt>
                <c:pt idx="2">
                  <c:v>-5.9000000000000025E-3</c:v>
                </c:pt>
                <c:pt idx="3">
                  <c:v>-2.3000000000000034E-3</c:v>
                </c:pt>
                <c:pt idx="4">
                  <c:v>-3.4714854364945036E-5</c:v>
                </c:pt>
                <c:pt idx="5">
                  <c:v>0</c:v>
                </c:pt>
                <c:pt idx="6">
                  <c:v>1.799999999999996E-3</c:v>
                </c:pt>
                <c:pt idx="7">
                  <c:v>3.0000000000000027E-3</c:v>
                </c:pt>
                <c:pt idx="8">
                  <c:v>4.3699315413196771E-3</c:v>
                </c:pt>
                <c:pt idx="9">
                  <c:v>5.0000000000000044E-3</c:v>
                </c:pt>
                <c:pt idx="10">
                  <c:v>6.0000000000000053E-3</c:v>
                </c:pt>
                <c:pt idx="11">
                  <c:v>8.3999999999999908E-3</c:v>
                </c:pt>
                <c:pt idx="12">
                  <c:v>8.9999999999999941E-3</c:v>
                </c:pt>
                <c:pt idx="13">
                  <c:v>1.0399999999999993E-2</c:v>
                </c:pt>
                <c:pt idx="14">
                  <c:v>1.6E-2</c:v>
                </c:pt>
                <c:pt idx="15">
                  <c:v>2.0299999999999999E-2</c:v>
                </c:pt>
              </c:numCache>
            </c:numRef>
          </c:val>
        </c:ser>
        <c:dLbls>
          <c:showLegendKey val="0"/>
          <c:showVal val="0"/>
          <c:showCatName val="0"/>
          <c:showSerName val="0"/>
          <c:showPercent val="0"/>
          <c:showBubbleSize val="0"/>
        </c:dLbls>
        <c:gapWidth val="72"/>
        <c:overlap val="100"/>
        <c:axId val="115410048"/>
        <c:axId val="115411584"/>
      </c:barChart>
      <c:catAx>
        <c:axId val="115410048"/>
        <c:scaling>
          <c:orientation val="minMax"/>
        </c:scaling>
        <c:delete val="0"/>
        <c:axPos val="l"/>
        <c:majorTickMark val="out"/>
        <c:minorTickMark val="none"/>
        <c:tickLblPos val="nextTo"/>
        <c:txPr>
          <a:bodyPr/>
          <a:lstStyle/>
          <a:p>
            <a:pPr>
              <a:defRPr sz="1100"/>
            </a:pPr>
            <a:endParaRPr lang="fr-FR"/>
          </a:p>
        </c:txPr>
        <c:crossAx val="115411584"/>
        <c:crosses val="autoZero"/>
        <c:auto val="1"/>
        <c:lblAlgn val="ctr"/>
        <c:lblOffset val="100"/>
        <c:noMultiLvlLbl val="0"/>
      </c:catAx>
      <c:valAx>
        <c:axId val="115411584"/>
        <c:scaling>
          <c:orientation val="minMax"/>
        </c:scaling>
        <c:delete val="0"/>
        <c:axPos val="b"/>
        <c:majorGridlines>
          <c:spPr>
            <a:ln>
              <a:solidFill>
                <a:schemeClr val="bg1">
                  <a:lumMod val="50000"/>
                </a:schemeClr>
              </a:solidFill>
              <a:prstDash val="dash"/>
            </a:ln>
          </c:spPr>
        </c:majorGridlines>
        <c:numFmt formatCode="0.0%" sourceLinked="0"/>
        <c:majorTickMark val="out"/>
        <c:minorTickMark val="none"/>
        <c:tickLblPos val="nextTo"/>
        <c:txPr>
          <a:bodyPr/>
          <a:lstStyle/>
          <a:p>
            <a:pPr>
              <a:defRPr sz="1100"/>
            </a:pPr>
            <a:endParaRPr lang="fr-FR"/>
          </a:p>
        </c:txPr>
        <c:crossAx val="115410048"/>
        <c:crosses val="autoZero"/>
        <c:crossBetween val="between"/>
      </c:valAx>
      <c:spPr>
        <a:noFill/>
      </c:spPr>
    </c:plotArea>
    <c:plotVisOnly val="1"/>
    <c:dispBlanksAs val="gap"/>
    <c:showDLblsOverMax val="0"/>
  </c:chart>
  <c:spPr>
    <a:noFill/>
    <a:ln>
      <a:noFill/>
    </a:ln>
  </c:spPr>
  <c:txPr>
    <a:bodyPr/>
    <a:lstStyle/>
    <a:p>
      <a:pPr>
        <a:defRPr>
          <a:latin typeface="Arial" pitchFamily="34" charset="0"/>
          <a:cs typeface="Arial" pitchFamily="34" charset="0"/>
        </a:defRPr>
      </a:pPr>
      <a:endParaRPr lang="fr-FR"/>
    </a:p>
  </c:txPr>
  <c:printSettings>
    <c:headerFooter/>
    <c:pageMargins b="0.75000000000001377" l="0.70000000000000062" r="0.70000000000000062" t="0.75000000000001377"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'FINAL BIPT &amp; Cullen 2014'!$AP$58</c:f>
              <c:strCache>
                <c:ptCount val="1"/>
                <c:pt idx="0">
                  <c:v>Low</c:v>
                </c:pt>
              </c:strCache>
            </c:strRef>
          </c:tx>
          <c:spPr>
            <a:noFill/>
          </c:spPr>
          <c:invertIfNegative val="0"/>
          <c:val>
            <c:numRef>
              <c:f>'FINAL BIPT &amp; Cullen 2014'!$AQ$58:$AT$58</c:f>
              <c:numCache>
                <c:formatCode>0.0%</c:formatCode>
                <c:ptCount val="4"/>
                <c:pt idx="0">
                  <c:v>4.4600000000000001E-2</c:v>
                </c:pt>
                <c:pt idx="1">
                  <c:v>4.4699999999999997E-2</c:v>
                </c:pt>
                <c:pt idx="2">
                  <c:v>7.6999999999999999E-2</c:v>
                </c:pt>
                <c:pt idx="3">
                  <c:v>9.69E-2</c:v>
                </c:pt>
              </c:numCache>
            </c:numRef>
          </c:val>
        </c:ser>
        <c:ser>
          <c:idx val="1"/>
          <c:order val="1"/>
          <c:tx>
            <c:strRef>
              <c:f>'FINAL BIPT &amp; Cullen 2014'!$AP$59</c:f>
              <c:strCache>
                <c:ptCount val="1"/>
                <c:pt idx="0">
                  <c:v>2014</c:v>
                </c:pt>
              </c:strCache>
            </c:strRef>
          </c:tx>
          <c:spPr>
            <a:solidFill>
              <a:schemeClr val="bg2">
                <a:lumMod val="90000"/>
              </a:schemeClr>
            </a:solidFill>
          </c:spPr>
          <c:invertIfNegative val="0"/>
          <c:val>
            <c:numRef>
              <c:f>'FINAL BIPT &amp; Cullen 2014'!$AQ$59:$AT$59</c:f>
              <c:numCache>
                <c:formatCode>0.0%</c:formatCode>
                <c:ptCount val="4"/>
                <c:pt idx="0">
                  <c:v>3.6749159833066036E-2</c:v>
                </c:pt>
                <c:pt idx="1">
                  <c:v>3.6614444978701095E-2</c:v>
                </c:pt>
                <c:pt idx="2">
                  <c:v>1.9121785799172827E-2</c:v>
                </c:pt>
                <c:pt idx="3">
                  <c:v>3.5917173404925035E-3</c:v>
                </c:pt>
              </c:numCache>
            </c:numRef>
          </c:val>
        </c:ser>
        <c:ser>
          <c:idx val="2"/>
          <c:order val="2"/>
          <c:tx>
            <c:strRef>
              <c:f>'FINAL BIPT &amp; Cullen 2014'!$AP$60</c:f>
              <c:strCache>
                <c:ptCount val="1"/>
                <c:pt idx="0">
                  <c:v>Average</c:v>
                </c:pt>
              </c:strCache>
            </c:strRef>
          </c:tx>
          <c:spPr>
            <a:solidFill>
              <a:schemeClr val="bg2">
                <a:lumMod val="75000"/>
              </a:schemeClr>
            </a:solidFill>
          </c:spPr>
          <c:invertIfNegative val="0"/>
          <c:val>
            <c:numRef>
              <c:f>'FINAL BIPT &amp; Cullen 2014'!$AQ$60:$AT$60</c:f>
              <c:numCache>
                <c:formatCode>0.0%</c:formatCode>
                <c:ptCount val="4"/>
                <c:pt idx="0">
                  <c:v>5.8522017793822684E-3</c:v>
                </c:pt>
                <c:pt idx="1">
                  <c:v>1.2498336177331731E-2</c:v>
                </c:pt>
                <c:pt idx="2">
                  <c:v>5.2938392008271828E-3</c:v>
                </c:pt>
                <c:pt idx="3">
                  <c:v>1.9665227103951924E-2</c:v>
                </c:pt>
              </c:numCache>
            </c:numRef>
          </c:val>
        </c:ser>
        <c:ser>
          <c:idx val="3"/>
          <c:order val="3"/>
          <c:tx>
            <c:strRef>
              <c:f>'FINAL BIPT &amp; Cullen 2014'!$AP$61</c:f>
              <c:strCache>
                <c:ptCount val="1"/>
                <c:pt idx="0">
                  <c:v>Median</c:v>
                </c:pt>
              </c:strCache>
            </c:strRef>
          </c:tx>
          <c:spPr>
            <a:solidFill>
              <a:schemeClr val="bg2">
                <a:lumMod val="50000"/>
              </a:schemeClr>
            </a:solidFill>
          </c:spPr>
          <c:invertIfNegative val="0"/>
          <c:val>
            <c:numRef>
              <c:f>'FINAL BIPT &amp; Cullen 2014'!$AQ$61:$AT$61</c:f>
              <c:numCache>
                <c:formatCode>0.0%</c:formatCode>
                <c:ptCount val="4"/>
                <c:pt idx="0">
                  <c:v>7.0986383875516895E-3</c:v>
                </c:pt>
                <c:pt idx="1">
                  <c:v>6.6789361844596801E-3</c:v>
                </c:pt>
                <c:pt idx="2">
                  <c:v>9.0937499999999005E-4</c:v>
                </c:pt>
                <c:pt idx="3">
                  <c:v>-5.6944444444428921E-5</c:v>
                </c:pt>
              </c:numCache>
            </c:numRef>
          </c:val>
        </c:ser>
        <c:ser>
          <c:idx val="4"/>
          <c:order val="4"/>
          <c:tx>
            <c:v>Previous</c:v>
          </c:tx>
          <c:spPr>
            <a:solidFill>
              <a:schemeClr val="bg2">
                <a:lumMod val="75000"/>
              </a:schemeClr>
            </a:solidFill>
          </c:spPr>
          <c:invertIfNegative val="0"/>
          <c:val>
            <c:numRef>
              <c:f>'FINAL BIPT &amp; Cullen 2014'!$AQ$62:$AT$62</c:f>
              <c:numCache>
                <c:formatCode>0.0%</c:formatCode>
                <c:ptCount val="4"/>
                <c:pt idx="0">
                  <c:v>1.8217857991728315E-3</c:v>
                </c:pt>
                <c:pt idx="1">
                  <c:v>0</c:v>
                </c:pt>
                <c:pt idx="2">
                  <c:v>9.675000000000003E-3</c:v>
                </c:pt>
                <c:pt idx="3">
                  <c:v>2.2999999999999965E-3</c:v>
                </c:pt>
              </c:numCache>
            </c:numRef>
          </c:val>
        </c:ser>
        <c:ser>
          <c:idx val="5"/>
          <c:order val="5"/>
          <c:tx>
            <c:strRef>
              <c:f>'FINAL BIPT &amp; Cullen 2014'!$AP$63</c:f>
              <c:strCache>
                <c:ptCount val="1"/>
                <c:pt idx="0">
                  <c:v>High</c:v>
                </c:pt>
              </c:strCache>
            </c:strRef>
          </c:tx>
          <c:spPr>
            <a:solidFill>
              <a:schemeClr val="bg2">
                <a:lumMod val="90000"/>
              </a:schemeClr>
            </a:solidFill>
          </c:spPr>
          <c:invertIfNegative val="0"/>
          <c:val>
            <c:numRef>
              <c:f>'FINAL BIPT &amp; Cullen 2014'!$AQ$63:$AT$63</c:f>
              <c:numCache>
                <c:formatCode>0.0%</c:formatCode>
                <c:ptCount val="4"/>
                <c:pt idx="0">
                  <c:v>2.6478214200827174E-2</c:v>
                </c:pt>
                <c:pt idx="1">
                  <c:v>4.2408282659507496E-2</c:v>
                </c:pt>
                <c:pt idx="2">
                  <c:v>2.0000000000000004E-2</c:v>
                </c:pt>
                <c:pt idx="3">
                  <c:v>2.5700000000000014E-2</c:v>
                </c:pt>
              </c:numCache>
            </c:numRef>
          </c:val>
        </c:ser>
        <c:dLbls>
          <c:showLegendKey val="0"/>
          <c:showVal val="0"/>
          <c:showCatName val="0"/>
          <c:showSerName val="0"/>
          <c:showPercent val="0"/>
          <c:showBubbleSize val="0"/>
        </c:dLbls>
        <c:gapWidth val="63"/>
        <c:overlap val="100"/>
        <c:axId val="115473024"/>
        <c:axId val="115806592"/>
      </c:barChart>
      <c:catAx>
        <c:axId val="115473024"/>
        <c:scaling>
          <c:orientation val="minMax"/>
        </c:scaling>
        <c:delete val="1"/>
        <c:axPos val="l"/>
        <c:numFmt formatCode="General" sourceLinked="1"/>
        <c:majorTickMark val="out"/>
        <c:minorTickMark val="none"/>
        <c:tickLblPos val="none"/>
        <c:crossAx val="115806592"/>
        <c:crosses val="autoZero"/>
        <c:auto val="1"/>
        <c:lblAlgn val="ctr"/>
        <c:lblOffset val="100"/>
        <c:noMultiLvlLbl val="0"/>
      </c:catAx>
      <c:valAx>
        <c:axId val="115806592"/>
        <c:scaling>
          <c:orientation val="minMax"/>
          <c:max val="0.15000000000000024"/>
          <c:min val="0.05"/>
        </c:scaling>
        <c:delete val="0"/>
        <c:axPos val="b"/>
        <c:majorGridlines>
          <c:spPr>
            <a:ln>
              <a:solidFill>
                <a:schemeClr val="bg1">
                  <a:lumMod val="50000"/>
                </a:schemeClr>
              </a:solidFill>
              <a:prstDash val="dash"/>
            </a:ln>
          </c:spPr>
        </c:majorGridlines>
        <c:numFmt formatCode="0%" sourceLinked="0"/>
        <c:majorTickMark val="out"/>
        <c:minorTickMark val="none"/>
        <c:tickLblPos val="nextTo"/>
        <c:spPr>
          <a:ln>
            <a:solidFill>
              <a:schemeClr val="bg1">
                <a:lumMod val="50000"/>
              </a:schemeClr>
            </a:solidFill>
          </a:ln>
        </c:spPr>
        <c:crossAx val="115473024"/>
        <c:crosses val="autoZero"/>
        <c:crossBetween val="between"/>
        <c:majorUnit val="1.0000000000000005E-2"/>
      </c:valAx>
      <c:spPr>
        <a:noFill/>
      </c:spPr>
    </c:plotArea>
    <c:plotVisOnly val="1"/>
    <c:dispBlanksAs val="gap"/>
    <c:showDLblsOverMax val="0"/>
  </c:chart>
  <c:spPr>
    <a:noFill/>
    <a:ln>
      <a:noFill/>
    </a:ln>
  </c:spPr>
  <c:txPr>
    <a:bodyPr/>
    <a:lstStyle/>
    <a:p>
      <a:pPr>
        <a:defRPr>
          <a:latin typeface="Arial" pitchFamily="34" charset="0"/>
          <a:cs typeface="Arial" pitchFamily="34" charset="0"/>
        </a:defRPr>
      </a:pPr>
      <a:endParaRPr lang="fr-FR"/>
    </a:p>
  </c:txPr>
  <c:printSettings>
    <c:headerFooter/>
    <c:pageMargins b="0.75000000000001288" l="0.70000000000000062" r="0.70000000000000062" t="0.75000000000001288"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http://www.marpij.com/" TargetMode="External"/></Relationships>
</file>

<file path=xl/drawings/_rels/drawing2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2</xdr:col>
      <xdr:colOff>76200</xdr:colOff>
      <xdr:row>38</xdr:row>
      <xdr:rowOff>0</xdr:rowOff>
    </xdr:from>
    <xdr:to>
      <xdr:col>2</xdr:col>
      <xdr:colOff>571500</xdr:colOff>
      <xdr:row>41</xdr:row>
      <xdr:rowOff>0</xdr:rowOff>
    </xdr:to>
    <xdr:grpSp>
      <xdr:nvGrpSpPr>
        <xdr:cNvPr id="2" name="Group 1">
          <a:hlinkClick xmlns:r="http://schemas.openxmlformats.org/officeDocument/2006/relationships" r:id="rId1"/>
        </xdr:cNvPr>
        <xdr:cNvGrpSpPr>
          <a:grpSpLocks noChangeAspect="1"/>
        </xdr:cNvGrpSpPr>
      </xdr:nvGrpSpPr>
      <xdr:grpSpPr bwMode="auto">
        <a:xfrm>
          <a:off x="342900" y="6086475"/>
          <a:ext cx="495300" cy="485775"/>
          <a:chOff x="0" y="427"/>
          <a:chExt cx="84" cy="86"/>
        </a:xfrm>
      </xdr:grpSpPr>
      <xdr:sp macro="" textlink="">
        <xdr:nvSpPr>
          <xdr:cNvPr id="3" name="Freeform 2"/>
          <xdr:cNvSpPr>
            <a:spLocks noChangeAspect="1"/>
          </xdr:cNvSpPr>
        </xdr:nvSpPr>
        <xdr:spPr bwMode="auto">
          <a:xfrm>
            <a:off x="0" y="481"/>
            <a:ext cx="35" cy="32"/>
          </a:xfrm>
          <a:custGeom>
            <a:avLst/>
            <a:gdLst>
              <a:gd name="T0" fmla="*/ 0 w 232"/>
              <a:gd name="T1" fmla="*/ 0 h 169"/>
              <a:gd name="T2" fmla="*/ 0 w 232"/>
              <a:gd name="T3" fmla="*/ 0 h 169"/>
              <a:gd name="T4" fmla="*/ 0 w 232"/>
              <a:gd name="T5" fmla="*/ 0 h 169"/>
              <a:gd name="T6" fmla="*/ 0 w 232"/>
              <a:gd name="T7" fmla="*/ 0 h 169"/>
              <a:gd name="T8" fmla="*/ 0 w 232"/>
              <a:gd name="T9" fmla="*/ 0 h 169"/>
              <a:gd name="T10" fmla="*/ 0 w 232"/>
              <a:gd name="T11" fmla="*/ 0 h 169"/>
              <a:gd name="T12" fmla="*/ 0 w 232"/>
              <a:gd name="T13" fmla="*/ 0 h 169"/>
              <a:gd name="T14" fmla="*/ 0 w 232"/>
              <a:gd name="T15" fmla="*/ 0 h 169"/>
              <a:gd name="T16" fmla="*/ 0 w 232"/>
              <a:gd name="T17" fmla="*/ 0 h 169"/>
              <a:gd name="T18" fmla="*/ 0 w 232"/>
              <a:gd name="T19" fmla="*/ 0 h 169"/>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32"/>
              <a:gd name="T31" fmla="*/ 0 h 169"/>
              <a:gd name="T32" fmla="*/ 232 w 232"/>
              <a:gd name="T33" fmla="*/ 169 h 169"/>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32" h="169">
                <a:moveTo>
                  <a:pt x="144" y="1"/>
                </a:moveTo>
                <a:cubicBezTo>
                  <a:pt x="117" y="5"/>
                  <a:pt x="85" y="0"/>
                  <a:pt x="64" y="17"/>
                </a:cubicBezTo>
                <a:cubicBezTo>
                  <a:pt x="56" y="23"/>
                  <a:pt x="55" y="34"/>
                  <a:pt x="48" y="41"/>
                </a:cubicBezTo>
                <a:cubicBezTo>
                  <a:pt x="41" y="48"/>
                  <a:pt x="32" y="52"/>
                  <a:pt x="24" y="57"/>
                </a:cubicBezTo>
                <a:cubicBezTo>
                  <a:pt x="16" y="69"/>
                  <a:pt x="0" y="88"/>
                  <a:pt x="0" y="105"/>
                </a:cubicBezTo>
                <a:cubicBezTo>
                  <a:pt x="0" y="145"/>
                  <a:pt x="49" y="159"/>
                  <a:pt x="80" y="169"/>
                </a:cubicBezTo>
                <a:cubicBezTo>
                  <a:pt x="104" y="166"/>
                  <a:pt x="128" y="166"/>
                  <a:pt x="152" y="161"/>
                </a:cubicBezTo>
                <a:cubicBezTo>
                  <a:pt x="169" y="158"/>
                  <a:pt x="200" y="145"/>
                  <a:pt x="200" y="145"/>
                </a:cubicBezTo>
                <a:cubicBezTo>
                  <a:pt x="213" y="106"/>
                  <a:pt x="232" y="49"/>
                  <a:pt x="192" y="17"/>
                </a:cubicBezTo>
                <a:cubicBezTo>
                  <a:pt x="179" y="6"/>
                  <a:pt x="160" y="6"/>
                  <a:pt x="144" y="1"/>
                </a:cubicBezTo>
                <a:close/>
              </a:path>
            </a:pathLst>
          </a:custGeom>
          <a:solidFill>
            <a:srgbClr val="246C48"/>
          </a:solidFill>
          <a:ln w="9525">
            <a:noFill/>
            <a:round/>
            <a:headEnd/>
            <a:tailEnd/>
          </a:ln>
        </xdr:spPr>
      </xdr:sp>
      <xdr:sp macro="" textlink="">
        <xdr:nvSpPr>
          <xdr:cNvPr id="4" name="Freeform 3"/>
          <xdr:cNvSpPr>
            <a:spLocks noChangeAspect="1"/>
          </xdr:cNvSpPr>
        </xdr:nvSpPr>
        <xdr:spPr bwMode="auto">
          <a:xfrm>
            <a:off x="53" y="481"/>
            <a:ext cx="31" cy="32"/>
          </a:xfrm>
          <a:custGeom>
            <a:avLst/>
            <a:gdLst>
              <a:gd name="T0" fmla="*/ 0 w 187"/>
              <a:gd name="T1" fmla="*/ 0 h 184"/>
              <a:gd name="T2" fmla="*/ 0 w 187"/>
              <a:gd name="T3" fmla="*/ 0 h 184"/>
              <a:gd name="T4" fmla="*/ 0 w 187"/>
              <a:gd name="T5" fmla="*/ 0 h 184"/>
              <a:gd name="T6" fmla="*/ 0 w 187"/>
              <a:gd name="T7" fmla="*/ 0 h 184"/>
              <a:gd name="T8" fmla="*/ 0 w 187"/>
              <a:gd name="T9" fmla="*/ 0 h 184"/>
              <a:gd name="T10" fmla="*/ 0 60000 65536"/>
              <a:gd name="T11" fmla="*/ 0 60000 65536"/>
              <a:gd name="T12" fmla="*/ 0 60000 65536"/>
              <a:gd name="T13" fmla="*/ 0 60000 65536"/>
              <a:gd name="T14" fmla="*/ 0 60000 65536"/>
              <a:gd name="T15" fmla="*/ 0 w 187"/>
              <a:gd name="T16" fmla="*/ 0 h 184"/>
              <a:gd name="T17" fmla="*/ 187 w 187"/>
              <a:gd name="T18" fmla="*/ 184 h 184"/>
            </a:gdLst>
            <a:ahLst/>
            <a:cxnLst>
              <a:cxn ang="T10">
                <a:pos x="T0" y="T1"/>
              </a:cxn>
              <a:cxn ang="T11">
                <a:pos x="T2" y="T3"/>
              </a:cxn>
              <a:cxn ang="T12">
                <a:pos x="T4" y="T5"/>
              </a:cxn>
              <a:cxn ang="T13">
                <a:pos x="T6" y="T7"/>
              </a:cxn>
              <a:cxn ang="T14">
                <a:pos x="T8" y="T9"/>
              </a:cxn>
            </a:cxnLst>
            <a:rect l="T15" t="T16" r="T17" b="T18"/>
            <a:pathLst>
              <a:path w="187" h="184">
                <a:moveTo>
                  <a:pt x="128" y="0"/>
                </a:moveTo>
                <a:cubicBezTo>
                  <a:pt x="57" y="12"/>
                  <a:pt x="25" y="14"/>
                  <a:pt x="0" y="88"/>
                </a:cubicBezTo>
                <a:cubicBezTo>
                  <a:pt x="14" y="131"/>
                  <a:pt x="6" y="150"/>
                  <a:pt x="40" y="184"/>
                </a:cubicBezTo>
                <a:cubicBezTo>
                  <a:pt x="91" y="178"/>
                  <a:pt x="128" y="170"/>
                  <a:pt x="176" y="160"/>
                </a:cubicBezTo>
                <a:cubicBezTo>
                  <a:pt x="187" y="96"/>
                  <a:pt x="185" y="38"/>
                  <a:pt x="128" y="0"/>
                </a:cubicBezTo>
                <a:close/>
              </a:path>
            </a:pathLst>
          </a:custGeom>
          <a:solidFill>
            <a:srgbClr val="FF9900"/>
          </a:solidFill>
          <a:ln w="9525">
            <a:noFill/>
            <a:round/>
            <a:headEnd/>
            <a:tailEnd/>
          </a:ln>
        </xdr:spPr>
      </xdr:sp>
      <xdr:sp macro="" textlink="">
        <xdr:nvSpPr>
          <xdr:cNvPr id="5" name="Freeform 4"/>
          <xdr:cNvSpPr>
            <a:spLocks noChangeAspect="1"/>
          </xdr:cNvSpPr>
        </xdr:nvSpPr>
        <xdr:spPr bwMode="auto">
          <a:xfrm>
            <a:off x="53" y="427"/>
            <a:ext cx="31" cy="35"/>
          </a:xfrm>
          <a:custGeom>
            <a:avLst/>
            <a:gdLst>
              <a:gd name="T0" fmla="*/ 0 w 184"/>
              <a:gd name="T1" fmla="*/ 0 h 205"/>
              <a:gd name="T2" fmla="*/ 0 w 184"/>
              <a:gd name="T3" fmla="*/ 0 h 205"/>
              <a:gd name="T4" fmla="*/ 0 w 184"/>
              <a:gd name="T5" fmla="*/ 0 h 205"/>
              <a:gd name="T6" fmla="*/ 0 w 184"/>
              <a:gd name="T7" fmla="*/ 0 h 205"/>
              <a:gd name="T8" fmla="*/ 0 w 184"/>
              <a:gd name="T9" fmla="*/ 0 h 205"/>
              <a:gd name="T10" fmla="*/ 0 w 184"/>
              <a:gd name="T11" fmla="*/ 0 h 205"/>
              <a:gd name="T12" fmla="*/ 0 w 184"/>
              <a:gd name="T13" fmla="*/ 0 h 205"/>
              <a:gd name="T14" fmla="*/ 0 60000 65536"/>
              <a:gd name="T15" fmla="*/ 0 60000 65536"/>
              <a:gd name="T16" fmla="*/ 0 60000 65536"/>
              <a:gd name="T17" fmla="*/ 0 60000 65536"/>
              <a:gd name="T18" fmla="*/ 0 60000 65536"/>
              <a:gd name="T19" fmla="*/ 0 60000 65536"/>
              <a:gd name="T20" fmla="*/ 0 60000 65536"/>
              <a:gd name="T21" fmla="*/ 0 w 184"/>
              <a:gd name="T22" fmla="*/ 0 h 205"/>
              <a:gd name="T23" fmla="*/ 184 w 184"/>
              <a:gd name="T24" fmla="*/ 205 h 205"/>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84" h="205">
                <a:moveTo>
                  <a:pt x="96" y="42"/>
                </a:moveTo>
                <a:cubicBezTo>
                  <a:pt x="72" y="47"/>
                  <a:pt x="49" y="46"/>
                  <a:pt x="32" y="66"/>
                </a:cubicBezTo>
                <a:cubicBezTo>
                  <a:pt x="19" y="80"/>
                  <a:pt x="0" y="114"/>
                  <a:pt x="0" y="114"/>
                </a:cubicBezTo>
                <a:cubicBezTo>
                  <a:pt x="1" y="121"/>
                  <a:pt x="11" y="174"/>
                  <a:pt x="16" y="178"/>
                </a:cubicBezTo>
                <a:cubicBezTo>
                  <a:pt x="30" y="188"/>
                  <a:pt x="64" y="194"/>
                  <a:pt x="64" y="194"/>
                </a:cubicBezTo>
                <a:cubicBezTo>
                  <a:pt x="116" y="189"/>
                  <a:pt x="167" y="205"/>
                  <a:pt x="184" y="154"/>
                </a:cubicBezTo>
                <a:cubicBezTo>
                  <a:pt x="180" y="109"/>
                  <a:pt x="181" y="0"/>
                  <a:pt x="96" y="42"/>
                </a:cubicBezTo>
                <a:close/>
              </a:path>
            </a:pathLst>
          </a:custGeom>
          <a:solidFill>
            <a:srgbClr val="FF9900"/>
          </a:solidFill>
          <a:ln w="9525">
            <a:noFill/>
            <a:round/>
            <a:headEnd/>
            <a:tailEnd/>
          </a:ln>
        </xdr:spPr>
      </xdr:sp>
      <xdr:sp macro="" textlink="">
        <xdr:nvSpPr>
          <xdr:cNvPr id="6" name="Freeform 5"/>
          <xdr:cNvSpPr>
            <a:spLocks noChangeAspect="1"/>
          </xdr:cNvSpPr>
        </xdr:nvSpPr>
        <xdr:spPr bwMode="auto">
          <a:xfrm>
            <a:off x="0" y="427"/>
            <a:ext cx="31" cy="35"/>
          </a:xfrm>
          <a:custGeom>
            <a:avLst/>
            <a:gdLst>
              <a:gd name="T0" fmla="*/ 0 w 184"/>
              <a:gd name="T1" fmla="*/ 0 h 205"/>
              <a:gd name="T2" fmla="*/ 0 w 184"/>
              <a:gd name="T3" fmla="*/ 0 h 205"/>
              <a:gd name="T4" fmla="*/ 0 w 184"/>
              <a:gd name="T5" fmla="*/ 0 h 205"/>
              <a:gd name="T6" fmla="*/ 0 w 184"/>
              <a:gd name="T7" fmla="*/ 0 h 205"/>
              <a:gd name="T8" fmla="*/ 0 w 184"/>
              <a:gd name="T9" fmla="*/ 0 h 205"/>
              <a:gd name="T10" fmla="*/ 0 w 184"/>
              <a:gd name="T11" fmla="*/ 0 h 205"/>
              <a:gd name="T12" fmla="*/ 0 w 184"/>
              <a:gd name="T13" fmla="*/ 0 h 205"/>
              <a:gd name="T14" fmla="*/ 0 60000 65536"/>
              <a:gd name="T15" fmla="*/ 0 60000 65536"/>
              <a:gd name="T16" fmla="*/ 0 60000 65536"/>
              <a:gd name="T17" fmla="*/ 0 60000 65536"/>
              <a:gd name="T18" fmla="*/ 0 60000 65536"/>
              <a:gd name="T19" fmla="*/ 0 60000 65536"/>
              <a:gd name="T20" fmla="*/ 0 60000 65536"/>
              <a:gd name="T21" fmla="*/ 0 w 184"/>
              <a:gd name="T22" fmla="*/ 0 h 205"/>
              <a:gd name="T23" fmla="*/ 184 w 184"/>
              <a:gd name="T24" fmla="*/ 205 h 205"/>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84" h="205">
                <a:moveTo>
                  <a:pt x="96" y="42"/>
                </a:moveTo>
                <a:cubicBezTo>
                  <a:pt x="72" y="47"/>
                  <a:pt x="49" y="46"/>
                  <a:pt x="32" y="66"/>
                </a:cubicBezTo>
                <a:cubicBezTo>
                  <a:pt x="19" y="80"/>
                  <a:pt x="0" y="114"/>
                  <a:pt x="0" y="114"/>
                </a:cubicBezTo>
                <a:cubicBezTo>
                  <a:pt x="1" y="121"/>
                  <a:pt x="11" y="174"/>
                  <a:pt x="16" y="178"/>
                </a:cubicBezTo>
                <a:cubicBezTo>
                  <a:pt x="30" y="188"/>
                  <a:pt x="64" y="194"/>
                  <a:pt x="64" y="194"/>
                </a:cubicBezTo>
                <a:cubicBezTo>
                  <a:pt x="116" y="189"/>
                  <a:pt x="167" y="205"/>
                  <a:pt x="184" y="154"/>
                </a:cubicBezTo>
                <a:cubicBezTo>
                  <a:pt x="180" y="109"/>
                  <a:pt x="181" y="0"/>
                  <a:pt x="96" y="42"/>
                </a:cubicBezTo>
                <a:close/>
              </a:path>
            </a:pathLst>
          </a:custGeom>
          <a:solidFill>
            <a:srgbClr val="FF9900"/>
          </a:solidFill>
          <a:ln w="9525">
            <a:noFill/>
            <a:round/>
            <a:headEnd/>
            <a:tailEnd/>
          </a:ln>
        </xdr:spPr>
      </xdr:sp>
    </xdr:grpSp>
    <xdr:clientData/>
  </xdr:twoCellAnchor>
  <xdr:twoCellAnchor>
    <xdr:from>
      <xdr:col>8</xdr:col>
      <xdr:colOff>581026</xdr:colOff>
      <xdr:row>22</xdr:row>
      <xdr:rowOff>19050</xdr:rowOff>
    </xdr:from>
    <xdr:to>
      <xdr:col>16</xdr:col>
      <xdr:colOff>9525</xdr:colOff>
      <xdr:row>33</xdr:row>
      <xdr:rowOff>28575</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0.72768</cdr:x>
      <cdr:y>0.39616</cdr:y>
    </cdr:from>
    <cdr:to>
      <cdr:x>0.89646</cdr:x>
      <cdr:y>0.50205</cdr:y>
    </cdr:to>
    <cdr:sp macro="" textlink="">
      <cdr:nvSpPr>
        <cdr:cNvPr id="3" name="ZoneTexte 1"/>
        <cdr:cNvSpPr txBox="1"/>
      </cdr:nvSpPr>
      <cdr:spPr>
        <a:xfrm xmlns:a="http://schemas.openxmlformats.org/drawingml/2006/main">
          <a:off x="5301405" y="1629788"/>
          <a:ext cx="1229571" cy="435632"/>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Médiane </a:t>
          </a:r>
          <a:r>
            <a:rPr lang="fr-FR" sz="1200" baseline="0">
              <a:latin typeface="Arial" pitchFamily="34" charset="0"/>
              <a:cs typeface="Arial" pitchFamily="34" charset="0"/>
            </a:rPr>
            <a:t>10,0%</a:t>
          </a:r>
        </a:p>
        <a:p xmlns:a="http://schemas.openxmlformats.org/drawingml/2006/main">
          <a:pPr algn="l"/>
          <a:r>
            <a:rPr lang="fr-FR" sz="1200" baseline="0">
              <a:latin typeface="Arial" pitchFamily="34" charset="0"/>
              <a:cs typeface="Arial" pitchFamily="34" charset="0"/>
            </a:rPr>
            <a:t>Moyenne 9,4%</a:t>
          </a:r>
          <a:endParaRPr lang="fr-FR" sz="1200">
            <a:latin typeface="Arial" pitchFamily="34" charset="0"/>
            <a:cs typeface="Arial" pitchFamily="34" charset="0"/>
          </a:endParaRPr>
        </a:p>
      </cdr:txBody>
    </cdr:sp>
  </cdr:relSizeAnchor>
  <cdr:relSizeAnchor xmlns:cdr="http://schemas.openxmlformats.org/drawingml/2006/chartDrawing">
    <cdr:from>
      <cdr:x>0.66183</cdr:x>
      <cdr:y>0.4374</cdr:y>
    </cdr:from>
    <cdr:to>
      <cdr:x>0.6911</cdr:x>
      <cdr:y>0.91713</cdr:y>
    </cdr:to>
    <cdr:grpSp>
      <cdr:nvGrpSpPr>
        <cdr:cNvPr id="5" name="Groupe 4"/>
        <cdr:cNvGrpSpPr/>
      </cdr:nvGrpSpPr>
      <cdr:grpSpPr>
        <a:xfrm xmlns:a="http://schemas.openxmlformats.org/drawingml/2006/main">
          <a:off x="4855254" y="1764748"/>
          <a:ext cx="214727" cy="1935534"/>
          <a:chOff x="4821633" y="1799467"/>
          <a:chExt cx="213241" cy="1973612"/>
        </a:xfrm>
      </cdr:grpSpPr>
      <cdr:sp macro="" textlink="">
        <cdr:nvSpPr>
          <cdr:cNvPr id="6" name="Connecteur droit avec flèche 5"/>
          <cdr:cNvSpPr/>
        </cdr:nvSpPr>
        <cdr:spPr>
          <a:xfrm xmlns:a="http://schemas.openxmlformats.org/drawingml/2006/main" flipV="1">
            <a:off x="4821633" y="1872367"/>
            <a:ext cx="0" cy="1872120"/>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sp macro="" textlink="">
        <cdr:nvSpPr>
          <cdr:cNvPr id="7" name="Connecteur droit avec flèche 6"/>
          <cdr:cNvSpPr/>
        </cdr:nvSpPr>
        <cdr:spPr>
          <a:xfrm xmlns:a="http://schemas.openxmlformats.org/drawingml/2006/main" flipV="1">
            <a:off x="5034874" y="1799467"/>
            <a:ext cx="0" cy="1973612"/>
          </a:xfrm>
          <a:prstGeom xmlns:a="http://schemas.openxmlformats.org/drawingml/2006/main" prst="straightConnector1">
            <a:avLst/>
          </a:prstGeom>
          <a:ln xmlns:a="http://schemas.openxmlformats.org/drawingml/2006/main" w="1270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grpSp>
  </cdr:relSizeAnchor>
</c:userShapes>
</file>

<file path=xl/drawings/drawing11.xml><?xml version="1.0" encoding="utf-8"?>
<c:userShapes xmlns:c="http://schemas.openxmlformats.org/drawingml/2006/chart">
  <cdr:relSizeAnchor xmlns:cdr="http://schemas.openxmlformats.org/drawingml/2006/chartDrawing">
    <cdr:from>
      <cdr:x>0.51669</cdr:x>
      <cdr:y>0.41728</cdr:y>
    </cdr:from>
    <cdr:to>
      <cdr:x>0.82496</cdr:x>
      <cdr:y>0.49189</cdr:y>
    </cdr:to>
    <cdr:sp macro="" textlink="">
      <cdr:nvSpPr>
        <cdr:cNvPr id="2" name="ZoneTexte 1"/>
        <cdr:cNvSpPr txBox="1"/>
      </cdr:nvSpPr>
      <cdr:spPr>
        <a:xfrm xmlns:a="http://schemas.openxmlformats.org/drawingml/2006/main">
          <a:off x="3043495" y="1781715"/>
          <a:ext cx="1815843" cy="318574"/>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latin typeface="Arial" pitchFamily="34" charset="0"/>
              <a:cs typeface="Arial" pitchFamily="34" charset="0"/>
            </a:rPr>
            <a:t>Moyenne = médiane</a:t>
          </a:r>
          <a:r>
            <a:rPr lang="fr-FR" sz="1100" baseline="0">
              <a:latin typeface="Arial" pitchFamily="34" charset="0"/>
              <a:cs typeface="Arial" pitchFamily="34" charset="0"/>
            </a:rPr>
            <a:t> = 0,4% </a:t>
          </a:r>
          <a:endParaRPr lang="fr-FR" sz="1100">
            <a:latin typeface="Arial" pitchFamily="34" charset="0"/>
            <a:cs typeface="Arial" pitchFamily="34" charset="0"/>
          </a:endParaRPr>
        </a:p>
      </cdr:txBody>
    </cdr:sp>
  </cdr:relSizeAnchor>
  <cdr:relSizeAnchor xmlns:cdr="http://schemas.openxmlformats.org/drawingml/2006/chartDrawing">
    <cdr:from>
      <cdr:x>0.48552</cdr:x>
      <cdr:y>0.43859</cdr:y>
    </cdr:from>
    <cdr:to>
      <cdr:x>0.48552</cdr:x>
      <cdr:y>0.92005</cdr:y>
    </cdr:to>
    <cdr:sp macro="" textlink="">
      <cdr:nvSpPr>
        <cdr:cNvPr id="5" name="Connecteur droit avec flèche 4"/>
        <cdr:cNvSpPr/>
      </cdr:nvSpPr>
      <cdr:spPr>
        <a:xfrm xmlns:a="http://schemas.openxmlformats.org/drawingml/2006/main" flipV="1">
          <a:off x="2873785" y="1872711"/>
          <a:ext cx="0" cy="2055744"/>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0.03834</cdr:x>
      <cdr:y>0.45435</cdr:y>
    </cdr:from>
    <cdr:to>
      <cdr:x>0.95794</cdr:x>
      <cdr:y>0.45435</cdr:y>
    </cdr:to>
    <cdr:sp macro="" textlink="">
      <cdr:nvSpPr>
        <cdr:cNvPr id="14" name="Connecteur droit 13"/>
        <cdr:cNvSpPr/>
      </cdr:nvSpPr>
      <cdr:spPr>
        <a:xfrm xmlns:a="http://schemas.openxmlformats.org/drawingml/2006/main">
          <a:off x="231139" y="909782"/>
          <a:ext cx="5544000" cy="0"/>
        </a:xfrm>
        <a:prstGeom xmlns:a="http://schemas.openxmlformats.org/drawingml/2006/main" prst="line">
          <a:avLst/>
        </a:prstGeom>
        <a:ln xmlns:a="http://schemas.openxmlformats.org/drawingml/2006/main" w="6350">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0.0467</cdr:x>
      <cdr:y>0.09606</cdr:y>
    </cdr:from>
    <cdr:to>
      <cdr:x>0.93875</cdr:x>
      <cdr:y>0.81277</cdr:y>
    </cdr:to>
    <cdr:grpSp>
      <cdr:nvGrpSpPr>
        <cdr:cNvPr id="19" name="Groupe 18"/>
        <cdr:cNvGrpSpPr/>
      </cdr:nvGrpSpPr>
      <cdr:grpSpPr>
        <a:xfrm xmlns:a="http://schemas.openxmlformats.org/drawingml/2006/main">
          <a:off x="278562" y="185027"/>
          <a:ext cx="5321010" cy="1380501"/>
          <a:chOff x="281532" y="192338"/>
          <a:chExt cx="5377918" cy="1435118"/>
        </a:xfrm>
      </cdr:grpSpPr>
      <cdr:sp macro="" textlink="">
        <cdr:nvSpPr>
          <cdr:cNvPr id="2" name="ZoneTexte 1"/>
          <cdr:cNvSpPr txBox="1"/>
        </cdr:nvSpPr>
        <cdr:spPr>
          <a:xfrm xmlns:a="http://schemas.openxmlformats.org/drawingml/2006/main">
            <a:off x="747958" y="1368728"/>
            <a:ext cx="1356094" cy="2454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1000" b="1">
                <a:latin typeface="Arial" pitchFamily="34" charset="0"/>
                <a:cs typeface="Arial" pitchFamily="34" charset="0"/>
              </a:rPr>
              <a:t>Fixe</a:t>
            </a:r>
            <a:r>
              <a:rPr lang="fr-FR" sz="1000" b="1" baseline="0">
                <a:latin typeface="Arial" pitchFamily="34" charset="0"/>
                <a:cs typeface="Arial" pitchFamily="34" charset="0"/>
              </a:rPr>
              <a:t> </a:t>
            </a:r>
            <a:r>
              <a:rPr lang="fr-FR" sz="1000" b="1">
                <a:latin typeface="Arial" pitchFamily="34" charset="0"/>
                <a:cs typeface="Arial" pitchFamily="34" charset="0"/>
              </a:rPr>
              <a:t>2014 (7/16)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3" name="ZoneTexte 1"/>
          <cdr:cNvSpPr txBox="1"/>
        </cdr:nvSpPr>
        <cdr:spPr>
          <a:xfrm xmlns:a="http://schemas.openxmlformats.org/drawingml/2006/main">
            <a:off x="2944057" y="972588"/>
            <a:ext cx="1887461" cy="247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Mobile</a:t>
            </a:r>
            <a:r>
              <a:rPr lang="fr-FR" sz="1000" baseline="0">
                <a:latin typeface="Arial" pitchFamily="34" charset="0"/>
                <a:cs typeface="Arial" pitchFamily="34" charset="0"/>
              </a:rPr>
              <a:t> </a:t>
            </a:r>
            <a:r>
              <a:rPr lang="fr-FR" sz="1000">
                <a:latin typeface="Arial" pitchFamily="34" charset="0"/>
                <a:cs typeface="Arial" pitchFamily="34" charset="0"/>
              </a:rPr>
              <a:t>2010 (8/15) </a:t>
            </a:r>
          </a:p>
        </cdr:txBody>
      </cdr:sp>
      <cdr:sp macro="" textlink="">
        <cdr:nvSpPr>
          <cdr:cNvPr id="4" name="ZoneTexte 1"/>
          <cdr:cNvSpPr txBox="1"/>
        </cdr:nvSpPr>
        <cdr:spPr>
          <a:xfrm xmlns:a="http://schemas.openxmlformats.org/drawingml/2006/main">
            <a:off x="3552371" y="581378"/>
            <a:ext cx="1322733" cy="2368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Fixe 2008 (14/16) </a:t>
            </a:r>
          </a:p>
        </cdr:txBody>
      </cdr:sp>
      <cdr:sp macro="" textlink="">
        <cdr:nvSpPr>
          <cdr:cNvPr id="5" name="ZoneTexte 1"/>
          <cdr:cNvSpPr txBox="1"/>
        </cdr:nvSpPr>
        <cdr:spPr>
          <a:xfrm xmlns:a="http://schemas.openxmlformats.org/drawingml/2006/main">
            <a:off x="4148537" y="199257"/>
            <a:ext cx="1301328" cy="26201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aseline="0">
                <a:latin typeface="Arial" pitchFamily="34" charset="0"/>
                <a:cs typeface="Arial" pitchFamily="34" charset="0"/>
                <a:sym typeface="Symbol"/>
              </a:rPr>
              <a:t> </a:t>
            </a:r>
            <a:r>
              <a:rPr lang="fr-FR" sz="1000" baseline="0">
                <a:latin typeface="Arial" pitchFamily="34" charset="0"/>
                <a:cs typeface="Arial" pitchFamily="34" charset="0"/>
              </a:rPr>
              <a:t>Mobile 2006 (7/12)</a:t>
            </a:r>
            <a:endParaRPr lang="fr-FR" sz="1000">
              <a:latin typeface="Arial" pitchFamily="34" charset="0"/>
              <a:cs typeface="Arial" pitchFamily="34" charset="0"/>
            </a:endParaRPr>
          </a:p>
        </cdr:txBody>
      </cdr:sp>
      <cdr:sp macro="" textlink="">
        <cdr:nvSpPr>
          <cdr:cNvPr id="6" name="ZoneTexte 1"/>
          <cdr:cNvSpPr txBox="1"/>
        </cdr:nvSpPr>
        <cdr:spPr>
          <a:xfrm xmlns:a="http://schemas.openxmlformats.org/drawingml/2006/main">
            <a:off x="624646" y="972730"/>
            <a:ext cx="1372388" cy="2557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1">
                <a:latin typeface="Arial" pitchFamily="34" charset="0"/>
                <a:cs typeface="Arial" pitchFamily="34" charset="0"/>
              </a:rPr>
              <a:t>Mobile 2014 (6/15</a:t>
            </a:r>
            <a:r>
              <a:rPr lang="fr-FR" sz="1000">
                <a:latin typeface="Arial" pitchFamily="34" charset="0"/>
                <a:cs typeface="Arial" pitchFamily="34" charset="0"/>
              </a:rPr>
              <a:t>)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7" name="ZoneTexte 1"/>
          <cdr:cNvSpPr txBox="1"/>
        </cdr:nvSpPr>
        <cdr:spPr>
          <a:xfrm xmlns:a="http://schemas.openxmlformats.org/drawingml/2006/main">
            <a:off x="2693615" y="1368729"/>
            <a:ext cx="1182285" cy="2454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Fixe 2010</a:t>
            </a:r>
            <a:r>
              <a:rPr lang="fr-FR" sz="1000" baseline="0">
                <a:latin typeface="Arial" pitchFamily="34" charset="0"/>
                <a:cs typeface="Arial" pitchFamily="34" charset="0"/>
              </a:rPr>
              <a:t> </a:t>
            </a:r>
            <a:r>
              <a:rPr lang="fr-FR" sz="1000">
                <a:latin typeface="Arial" pitchFamily="34" charset="0"/>
                <a:cs typeface="Arial" pitchFamily="34" charset="0"/>
              </a:rPr>
              <a:t>(10/16) </a:t>
            </a:r>
          </a:p>
        </cdr:txBody>
      </cdr:sp>
      <cdr:sp macro="" textlink="">
        <cdr:nvSpPr>
          <cdr:cNvPr id="8" name="ZoneTexte 1"/>
          <cdr:cNvSpPr txBox="1"/>
        </cdr:nvSpPr>
        <cdr:spPr>
          <a:xfrm xmlns:a="http://schemas.openxmlformats.org/drawingml/2006/main">
            <a:off x="1713161" y="199257"/>
            <a:ext cx="1029097" cy="2497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rPr>
              <a:t>Mobile 2010 (3/12)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9" name="ZoneTexte 1"/>
          <cdr:cNvSpPr txBox="1"/>
        </cdr:nvSpPr>
        <cdr:spPr>
          <a:xfrm xmlns:a="http://schemas.openxmlformats.org/drawingml/2006/main">
            <a:off x="1562783" y="581378"/>
            <a:ext cx="1063738" cy="2454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latin typeface="Arial" pitchFamily="34" charset="0"/>
                <a:cs typeface="Arial" pitchFamily="34" charset="0"/>
              </a:rPr>
              <a:t>Fixe  2010 (6/16) </a:t>
            </a:r>
            <a:r>
              <a:rPr lang="fr-FR" sz="1000">
                <a:latin typeface="Arial" pitchFamily="34" charset="0"/>
                <a:cs typeface="Arial" pitchFamily="34" charset="0"/>
                <a:sym typeface="Symbol"/>
              </a:rPr>
              <a:t></a:t>
            </a:r>
            <a:endParaRPr lang="fr-FR" sz="1000">
              <a:latin typeface="Arial" pitchFamily="34" charset="0"/>
              <a:cs typeface="Arial" pitchFamily="34" charset="0"/>
            </a:endParaRPr>
          </a:p>
        </cdr:txBody>
      </cdr:sp>
      <cdr:sp macro="" textlink="">
        <cdr:nvSpPr>
          <cdr:cNvPr id="10" name="ZoneTexte 1"/>
          <cdr:cNvSpPr txBox="1"/>
        </cdr:nvSpPr>
        <cdr:spPr>
          <a:xfrm xmlns:a="http://schemas.openxmlformats.org/drawingml/2006/main">
            <a:off x="1606313" y="1172807"/>
            <a:ext cx="796026" cy="2265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solidFill>
                  <a:schemeClr val="bg1">
                    <a:lumMod val="50000"/>
                  </a:schemeClr>
                </a:solidFill>
                <a:latin typeface="Arial" pitchFamily="34" charset="0"/>
                <a:cs typeface="Arial" pitchFamily="34" charset="0"/>
              </a:rPr>
              <a:t>Moyenne</a:t>
            </a:r>
            <a:r>
              <a:rPr lang="fr-FR" sz="1000" baseline="0">
                <a:solidFill>
                  <a:schemeClr val="bg1">
                    <a:lumMod val="50000"/>
                  </a:schemeClr>
                </a:solidFill>
                <a:latin typeface="Arial" pitchFamily="34" charset="0"/>
                <a:cs typeface="Arial" pitchFamily="34" charset="0"/>
                <a:sym typeface="Symbol"/>
              </a:rPr>
              <a:t></a:t>
            </a:r>
            <a:endParaRPr lang="fr-FR" sz="1000">
              <a:solidFill>
                <a:schemeClr val="bg1">
                  <a:lumMod val="50000"/>
                </a:schemeClr>
              </a:solidFill>
              <a:latin typeface="Arial" pitchFamily="34" charset="0"/>
              <a:cs typeface="Arial" pitchFamily="34" charset="0"/>
            </a:endParaRPr>
          </a:p>
        </cdr:txBody>
      </cdr:sp>
      <cdr:sp macro="" textlink="">
        <cdr:nvSpPr>
          <cdr:cNvPr id="15" name="ZoneTexte 1"/>
          <cdr:cNvSpPr txBox="1"/>
        </cdr:nvSpPr>
        <cdr:spPr>
          <a:xfrm xmlns:a="http://schemas.openxmlformats.org/drawingml/2006/main">
            <a:off x="2545614" y="1172807"/>
            <a:ext cx="615065" cy="2265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solidFill>
                  <a:sysClr val="window" lastClr="FFFFFF">
                    <a:lumMod val="50000"/>
                  </a:sysClr>
                </a:solidFill>
                <a:latin typeface="Arial" pitchFamily="34" charset="0"/>
                <a:cs typeface="Arial" pitchFamily="34" charset="0"/>
                <a:sym typeface="Symbol"/>
              </a:rPr>
              <a:t></a:t>
            </a:r>
            <a:r>
              <a:rPr lang="fr-FR" sz="1000">
                <a:solidFill>
                  <a:sysClr val="window" lastClr="FFFFFF">
                    <a:lumMod val="50000"/>
                  </a:sysClr>
                </a:solidFill>
                <a:latin typeface="Arial" pitchFamily="34" charset="0"/>
                <a:cs typeface="Arial" pitchFamily="34" charset="0"/>
              </a:rPr>
              <a:t>Médiane</a:t>
            </a:r>
          </a:p>
        </cdr:txBody>
      </cdr:sp>
      <cdr:sp macro="" textlink="">
        <cdr:nvSpPr>
          <cdr:cNvPr id="16" name="ZoneTexte 15"/>
          <cdr:cNvSpPr txBox="1"/>
        </cdr:nvSpPr>
        <cdr:spPr>
          <a:xfrm xmlns:a="http://schemas.openxmlformats.org/drawingml/2006/main">
            <a:off x="281532" y="192338"/>
            <a:ext cx="1065652" cy="248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aseline="0">
                <a:latin typeface="Arial" pitchFamily="34" charset="0"/>
              </a:rPr>
              <a:t>Etaient en 2010</a:t>
            </a:r>
          </a:p>
        </cdr:txBody>
      </cdr:sp>
      <cdr:sp macro="" textlink="">
        <cdr:nvSpPr>
          <cdr:cNvPr id="18" name="ZoneTexte 1"/>
          <cdr:cNvSpPr txBox="1"/>
        </cdr:nvSpPr>
        <cdr:spPr>
          <a:xfrm xmlns:a="http://schemas.openxmlformats.org/drawingml/2006/main">
            <a:off x="4916500" y="1371856"/>
            <a:ext cx="742950" cy="2556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baseline="0">
                <a:latin typeface="Arial" pitchFamily="34" charset="0"/>
              </a:rPr>
              <a:t>En 2014</a:t>
            </a:r>
          </a:p>
        </cdr:txBody>
      </cdr:sp>
    </cdr:grpSp>
  </cdr:relSizeAnchor>
</c:userShapes>
</file>

<file path=xl/drawings/drawing13.xml><?xml version="1.0" encoding="utf-8"?>
<c:userShapes xmlns:c="http://schemas.openxmlformats.org/drawingml/2006/chart">
  <cdr:relSizeAnchor xmlns:cdr="http://schemas.openxmlformats.org/drawingml/2006/chartDrawing">
    <cdr:from>
      <cdr:x>0.07781</cdr:x>
      <cdr:y>0.12355</cdr:y>
    </cdr:from>
    <cdr:to>
      <cdr:x>0.21009</cdr:x>
      <cdr:y>0.21216</cdr:y>
    </cdr:to>
    <cdr:sp macro="" textlink="">
      <cdr:nvSpPr>
        <cdr:cNvPr id="2" name="ZoneTexte 1"/>
        <cdr:cNvSpPr txBox="1"/>
      </cdr:nvSpPr>
      <cdr:spPr>
        <a:xfrm xmlns:a="http://schemas.openxmlformats.org/drawingml/2006/main">
          <a:off x="473912" y="488231"/>
          <a:ext cx="805685" cy="35013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200">
              <a:solidFill>
                <a:schemeClr val="bg1">
                  <a:lumMod val="50000"/>
                </a:schemeClr>
              </a:solidFill>
              <a:latin typeface="Arial" pitchFamily="34" charset="0"/>
              <a:cs typeface="Arial" pitchFamily="34" charset="0"/>
              <a:sym typeface="Symbol"/>
            </a:rPr>
            <a:t> </a:t>
          </a:r>
          <a:r>
            <a:rPr lang="fr-FR" sz="1200">
              <a:solidFill>
                <a:schemeClr val="bg1">
                  <a:lumMod val="50000"/>
                </a:schemeClr>
              </a:solidFill>
              <a:latin typeface="Arial" pitchFamily="34" charset="0"/>
              <a:cs typeface="Arial" pitchFamily="34" charset="0"/>
            </a:rPr>
            <a:t>BIPT 2006</a:t>
          </a:r>
        </a:p>
      </cdr:txBody>
    </cdr:sp>
  </cdr:relSizeAnchor>
</c:userShapes>
</file>

<file path=xl/drawings/drawing14.xml><?xml version="1.0" encoding="utf-8"?>
<c:userShapes xmlns:c="http://schemas.openxmlformats.org/drawingml/2006/chart">
  <cdr:relSizeAnchor xmlns:cdr="http://schemas.openxmlformats.org/drawingml/2006/chartDrawing">
    <cdr:from>
      <cdr:x>0.78934</cdr:x>
      <cdr:y>0.41914</cdr:y>
    </cdr:from>
    <cdr:to>
      <cdr:x>0.94841</cdr:x>
      <cdr:y>0.4782</cdr:y>
    </cdr:to>
    <cdr:sp macro="" textlink="">
      <cdr:nvSpPr>
        <cdr:cNvPr id="3" name="ZoneTexte 1"/>
        <cdr:cNvSpPr txBox="1"/>
      </cdr:nvSpPr>
      <cdr:spPr>
        <a:xfrm xmlns:a="http://schemas.openxmlformats.org/drawingml/2006/main">
          <a:off x="5355658" y="1754371"/>
          <a:ext cx="1079273" cy="247202"/>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Médiane </a:t>
          </a:r>
          <a:r>
            <a:rPr lang="fr-FR" sz="1200" baseline="0">
              <a:latin typeface="Arial" pitchFamily="34" charset="0"/>
              <a:cs typeface="Arial" pitchFamily="34" charset="0"/>
            </a:rPr>
            <a:t>9,4%</a:t>
          </a:r>
          <a:endParaRPr lang="fr-FR" sz="1200">
            <a:latin typeface="Arial" pitchFamily="34" charset="0"/>
            <a:cs typeface="Arial" pitchFamily="34" charset="0"/>
          </a:endParaRPr>
        </a:p>
      </cdr:txBody>
    </cdr:sp>
  </cdr:relSizeAnchor>
  <cdr:relSizeAnchor xmlns:cdr="http://schemas.openxmlformats.org/drawingml/2006/chartDrawing">
    <cdr:from>
      <cdr:x>0.78934</cdr:x>
      <cdr:y>0.50192</cdr:y>
    </cdr:from>
    <cdr:to>
      <cdr:x>0.95543</cdr:x>
      <cdr:y>0.5565</cdr:y>
    </cdr:to>
    <cdr:sp macro="" textlink="">
      <cdr:nvSpPr>
        <cdr:cNvPr id="2" name="ZoneTexte 1"/>
        <cdr:cNvSpPr txBox="1"/>
      </cdr:nvSpPr>
      <cdr:spPr>
        <a:xfrm xmlns:a="http://schemas.openxmlformats.org/drawingml/2006/main">
          <a:off x="5355659" y="2100855"/>
          <a:ext cx="1126898" cy="22842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pPr algn="l"/>
          <a:r>
            <a:rPr lang="fr-FR" sz="1200" baseline="0">
              <a:latin typeface="Arial" pitchFamily="34" charset="0"/>
              <a:cs typeface="Arial" pitchFamily="34" charset="0"/>
            </a:rPr>
            <a:t>Moyenne 8,7%</a:t>
          </a:r>
          <a:r>
            <a:rPr lang="fr-FR" sz="1200">
              <a:latin typeface="Arial" pitchFamily="34" charset="0"/>
              <a:cs typeface="Arial" pitchFamily="34" charset="0"/>
            </a:rPr>
            <a:t> </a:t>
          </a:r>
        </a:p>
      </cdr:txBody>
    </cdr:sp>
  </cdr:relSizeAnchor>
</c:userShapes>
</file>

<file path=xl/drawings/drawing15.xml><?xml version="1.0" encoding="utf-8"?>
<c:userShapes xmlns:c="http://schemas.openxmlformats.org/drawingml/2006/chart">
  <cdr:relSizeAnchor xmlns:cdr="http://schemas.openxmlformats.org/drawingml/2006/chartDrawing">
    <cdr:from>
      <cdr:x>0.06507</cdr:x>
      <cdr:y>0.10427</cdr:y>
    </cdr:from>
    <cdr:to>
      <cdr:x>0.24874</cdr:x>
      <cdr:y>0.17838</cdr:y>
    </cdr:to>
    <cdr:sp macro="" textlink="">
      <cdr:nvSpPr>
        <cdr:cNvPr id="2" name="ZoneTexte 1"/>
        <cdr:cNvSpPr txBox="1"/>
      </cdr:nvSpPr>
      <cdr:spPr>
        <a:xfrm xmlns:a="http://schemas.openxmlformats.org/drawingml/2006/main">
          <a:off x="358397" y="378317"/>
          <a:ext cx="1011575" cy="2688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solidFill>
                <a:schemeClr val="bg1">
                  <a:lumMod val="50000"/>
                </a:schemeClr>
              </a:solidFill>
              <a:latin typeface="Arial" pitchFamily="34" charset="0"/>
              <a:cs typeface="Arial" pitchFamily="34" charset="0"/>
              <a:sym typeface="Symbol"/>
            </a:rPr>
            <a:t> </a:t>
          </a:r>
          <a:r>
            <a:rPr lang="fr-FR" sz="1000">
              <a:solidFill>
                <a:schemeClr val="bg1">
                  <a:lumMod val="50000"/>
                </a:schemeClr>
              </a:solidFill>
              <a:latin typeface="Arial" pitchFamily="34" charset="0"/>
              <a:cs typeface="Arial" pitchFamily="34" charset="0"/>
            </a:rPr>
            <a:t>BIPT 2008</a:t>
          </a:r>
        </a:p>
      </cdr:txBody>
    </cdr:sp>
  </cdr:relSizeAnchor>
</c:userShapes>
</file>

<file path=xl/drawings/drawing16.xml><?xml version="1.0" encoding="utf-8"?>
<c:userShapes xmlns:c="http://schemas.openxmlformats.org/drawingml/2006/chart">
  <cdr:relSizeAnchor xmlns:cdr="http://schemas.openxmlformats.org/drawingml/2006/chartDrawing">
    <cdr:from>
      <cdr:x>0.79636</cdr:x>
      <cdr:y>0.42142</cdr:y>
    </cdr:from>
    <cdr:to>
      <cdr:x>0.94759</cdr:x>
      <cdr:y>0.47789</cdr:y>
    </cdr:to>
    <cdr:sp macro="" textlink="">
      <cdr:nvSpPr>
        <cdr:cNvPr id="3" name="ZoneTexte 1"/>
        <cdr:cNvSpPr txBox="1"/>
      </cdr:nvSpPr>
      <cdr:spPr>
        <a:xfrm xmlns:a="http://schemas.openxmlformats.org/drawingml/2006/main">
          <a:off x="5403284" y="1763896"/>
          <a:ext cx="1026092" cy="236354"/>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Median </a:t>
          </a:r>
          <a:r>
            <a:rPr lang="fr-FR" sz="1200" baseline="0">
              <a:latin typeface="Arial" pitchFamily="34" charset="0"/>
              <a:cs typeface="Arial" pitchFamily="34" charset="0"/>
            </a:rPr>
            <a:t>9.4%</a:t>
          </a:r>
          <a:endParaRPr lang="fr-FR" sz="1200">
            <a:latin typeface="Arial" pitchFamily="34" charset="0"/>
            <a:cs typeface="Arial" pitchFamily="34" charset="0"/>
          </a:endParaRPr>
        </a:p>
      </cdr:txBody>
    </cdr:sp>
  </cdr:relSizeAnchor>
  <cdr:relSizeAnchor xmlns:cdr="http://schemas.openxmlformats.org/drawingml/2006/chartDrawing">
    <cdr:from>
      <cdr:x>0.79636</cdr:x>
      <cdr:y>0.5042</cdr:y>
    </cdr:from>
    <cdr:to>
      <cdr:x>0.95321</cdr:x>
      <cdr:y>0.55754</cdr:y>
    </cdr:to>
    <cdr:sp macro="" textlink="">
      <cdr:nvSpPr>
        <cdr:cNvPr id="2" name="ZoneTexte 1"/>
        <cdr:cNvSpPr txBox="1"/>
      </cdr:nvSpPr>
      <cdr:spPr>
        <a:xfrm xmlns:a="http://schemas.openxmlformats.org/drawingml/2006/main">
          <a:off x="5403284" y="2110380"/>
          <a:ext cx="1064192" cy="22324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pPr algn="l"/>
          <a:r>
            <a:rPr lang="fr-FR" sz="1200" baseline="0">
              <a:latin typeface="Arial" pitchFamily="34" charset="0"/>
              <a:cs typeface="Arial" pitchFamily="34" charset="0"/>
            </a:rPr>
            <a:t>Average 8.7%</a:t>
          </a:r>
          <a:r>
            <a:rPr lang="fr-FR" sz="1200">
              <a:latin typeface="Arial" pitchFamily="34" charset="0"/>
              <a:cs typeface="Arial" pitchFamily="34" charset="0"/>
            </a:rPr>
            <a:t> </a:t>
          </a:r>
        </a:p>
      </cdr:txBody>
    </cdr:sp>
  </cdr:relSizeAnchor>
</c:userShapes>
</file>

<file path=xl/drawings/drawing17.xml><?xml version="1.0" encoding="utf-8"?>
<c:userShapes xmlns:c="http://schemas.openxmlformats.org/drawingml/2006/chart">
  <cdr:relSizeAnchor xmlns:cdr="http://schemas.openxmlformats.org/drawingml/2006/chartDrawing">
    <cdr:from>
      <cdr:x>0.73291</cdr:x>
      <cdr:y>0.39616</cdr:y>
    </cdr:from>
    <cdr:to>
      <cdr:x>0.88644</cdr:x>
      <cdr:y>0.50205</cdr:y>
    </cdr:to>
    <cdr:sp macro="" textlink="">
      <cdr:nvSpPr>
        <cdr:cNvPr id="3" name="ZoneTexte 1"/>
        <cdr:cNvSpPr txBox="1"/>
      </cdr:nvSpPr>
      <cdr:spPr>
        <a:xfrm xmlns:a="http://schemas.openxmlformats.org/drawingml/2006/main">
          <a:off x="5339505" y="1629788"/>
          <a:ext cx="1118445" cy="435632"/>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Median </a:t>
          </a:r>
          <a:r>
            <a:rPr lang="fr-FR" sz="1200" baseline="0">
              <a:latin typeface="Arial" pitchFamily="34" charset="0"/>
              <a:cs typeface="Arial" pitchFamily="34" charset="0"/>
            </a:rPr>
            <a:t>10.0%</a:t>
          </a:r>
        </a:p>
        <a:p xmlns:a="http://schemas.openxmlformats.org/drawingml/2006/main">
          <a:pPr algn="l"/>
          <a:r>
            <a:rPr lang="fr-FR" sz="1200" baseline="0">
              <a:latin typeface="Arial" pitchFamily="34" charset="0"/>
              <a:cs typeface="Arial" pitchFamily="34" charset="0"/>
            </a:rPr>
            <a:t>Average 9.4%</a:t>
          </a:r>
          <a:endParaRPr lang="fr-FR" sz="1200">
            <a:latin typeface="Arial" pitchFamily="34" charset="0"/>
            <a:cs typeface="Arial" pitchFamily="34" charset="0"/>
          </a:endParaRPr>
        </a:p>
      </cdr:txBody>
    </cdr:sp>
  </cdr:relSizeAnchor>
  <cdr:relSizeAnchor xmlns:cdr="http://schemas.openxmlformats.org/drawingml/2006/chartDrawing">
    <cdr:from>
      <cdr:x>0.66183</cdr:x>
      <cdr:y>0.45512</cdr:y>
    </cdr:from>
    <cdr:to>
      <cdr:x>0.66183</cdr:x>
      <cdr:y>0.91018</cdr:y>
    </cdr:to>
    <cdr:sp macro="" textlink="">
      <cdr:nvSpPr>
        <cdr:cNvPr id="6" name="Connecteur droit avec flèche 5"/>
        <cdr:cNvSpPr/>
      </cdr:nvSpPr>
      <cdr:spPr>
        <a:xfrm xmlns:a="http://schemas.openxmlformats.org/drawingml/2006/main" flipV="1">
          <a:off x="4708186" y="1836226"/>
          <a:ext cx="0" cy="1836000"/>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0.6911</cdr:x>
      <cdr:y>0.4374</cdr:y>
    </cdr:from>
    <cdr:to>
      <cdr:x>0.6911</cdr:x>
      <cdr:y>0.91713</cdr:y>
    </cdr:to>
    <cdr:sp macro="" textlink="">
      <cdr:nvSpPr>
        <cdr:cNvPr id="7" name="Connecteur droit avec flèche 6"/>
        <cdr:cNvSpPr/>
      </cdr:nvSpPr>
      <cdr:spPr>
        <a:xfrm xmlns:a="http://schemas.openxmlformats.org/drawingml/2006/main" flipV="1">
          <a:off x="4922988" y="1799449"/>
          <a:ext cx="0" cy="1973613"/>
        </a:xfrm>
        <a:prstGeom xmlns:a="http://schemas.openxmlformats.org/drawingml/2006/main" prst="straightConnector1">
          <a:avLst/>
        </a:prstGeom>
        <a:ln xmlns:a="http://schemas.openxmlformats.org/drawingml/2006/main" w="1270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userShapes>
</file>

<file path=xl/drawings/drawing18.xml><?xml version="1.0" encoding="utf-8"?>
<c:userShapes xmlns:c="http://schemas.openxmlformats.org/drawingml/2006/chart">
  <cdr:relSizeAnchor xmlns:cdr="http://schemas.openxmlformats.org/drawingml/2006/chartDrawing">
    <cdr:from>
      <cdr:x>0.51669</cdr:x>
      <cdr:y>0.41728</cdr:y>
    </cdr:from>
    <cdr:to>
      <cdr:x>0.82496</cdr:x>
      <cdr:y>0.49189</cdr:y>
    </cdr:to>
    <cdr:sp macro="" textlink="">
      <cdr:nvSpPr>
        <cdr:cNvPr id="2" name="ZoneTexte 1"/>
        <cdr:cNvSpPr txBox="1"/>
      </cdr:nvSpPr>
      <cdr:spPr>
        <a:xfrm xmlns:a="http://schemas.openxmlformats.org/drawingml/2006/main">
          <a:off x="3043495" y="1781715"/>
          <a:ext cx="1815843" cy="318574"/>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latin typeface="Arial" pitchFamily="34" charset="0"/>
              <a:cs typeface="Arial" pitchFamily="34" charset="0"/>
            </a:rPr>
            <a:t>Average = median </a:t>
          </a:r>
          <a:r>
            <a:rPr lang="fr-FR" sz="1100" baseline="0">
              <a:latin typeface="Arial" pitchFamily="34" charset="0"/>
              <a:cs typeface="Arial" pitchFamily="34" charset="0"/>
            </a:rPr>
            <a:t>= 0.4% </a:t>
          </a:r>
          <a:endParaRPr lang="fr-FR" sz="1100">
            <a:latin typeface="Arial" pitchFamily="34" charset="0"/>
            <a:cs typeface="Arial" pitchFamily="34" charset="0"/>
          </a:endParaRPr>
        </a:p>
      </cdr:txBody>
    </cdr:sp>
  </cdr:relSizeAnchor>
  <cdr:relSizeAnchor xmlns:cdr="http://schemas.openxmlformats.org/drawingml/2006/chartDrawing">
    <cdr:from>
      <cdr:x>0.48552</cdr:x>
      <cdr:y>0.43859</cdr:y>
    </cdr:from>
    <cdr:to>
      <cdr:x>0.48552</cdr:x>
      <cdr:y>0.92005</cdr:y>
    </cdr:to>
    <cdr:sp macro="" textlink="">
      <cdr:nvSpPr>
        <cdr:cNvPr id="5" name="Connecteur droit avec flèche 4"/>
        <cdr:cNvSpPr/>
      </cdr:nvSpPr>
      <cdr:spPr>
        <a:xfrm xmlns:a="http://schemas.openxmlformats.org/drawingml/2006/main" flipV="1">
          <a:off x="2873785" y="1872711"/>
          <a:ext cx="0" cy="2055744"/>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userShapes>
</file>

<file path=xl/drawings/drawing19.xml><?xml version="1.0" encoding="utf-8"?>
<c:userShapes xmlns:c="http://schemas.openxmlformats.org/drawingml/2006/chart">
  <cdr:relSizeAnchor xmlns:cdr="http://schemas.openxmlformats.org/drawingml/2006/chartDrawing">
    <cdr:from>
      <cdr:x>0.03834</cdr:x>
      <cdr:y>0.45435</cdr:y>
    </cdr:from>
    <cdr:to>
      <cdr:x>0.95794</cdr:x>
      <cdr:y>0.45435</cdr:y>
    </cdr:to>
    <cdr:sp macro="" textlink="">
      <cdr:nvSpPr>
        <cdr:cNvPr id="14" name="Connecteur droit 13"/>
        <cdr:cNvSpPr/>
      </cdr:nvSpPr>
      <cdr:spPr>
        <a:xfrm xmlns:a="http://schemas.openxmlformats.org/drawingml/2006/main">
          <a:off x="231139" y="909782"/>
          <a:ext cx="5544000" cy="0"/>
        </a:xfrm>
        <a:prstGeom xmlns:a="http://schemas.openxmlformats.org/drawingml/2006/main" prst="line">
          <a:avLst/>
        </a:prstGeom>
        <a:ln xmlns:a="http://schemas.openxmlformats.org/drawingml/2006/main" w="6350">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0.0467</cdr:x>
      <cdr:y>0.09606</cdr:y>
    </cdr:from>
    <cdr:to>
      <cdr:x>0.93875</cdr:x>
      <cdr:y>0.81277</cdr:y>
    </cdr:to>
    <cdr:grpSp>
      <cdr:nvGrpSpPr>
        <cdr:cNvPr id="19" name="Groupe 18"/>
        <cdr:cNvGrpSpPr/>
      </cdr:nvGrpSpPr>
      <cdr:grpSpPr>
        <a:xfrm xmlns:a="http://schemas.openxmlformats.org/drawingml/2006/main">
          <a:off x="278315" y="185027"/>
          <a:ext cx="5316290" cy="1380501"/>
          <a:chOff x="281532" y="192338"/>
          <a:chExt cx="5377918" cy="1435118"/>
        </a:xfrm>
      </cdr:grpSpPr>
      <cdr:sp macro="" textlink="">
        <cdr:nvSpPr>
          <cdr:cNvPr id="2" name="ZoneTexte 1"/>
          <cdr:cNvSpPr txBox="1"/>
        </cdr:nvSpPr>
        <cdr:spPr>
          <a:xfrm xmlns:a="http://schemas.openxmlformats.org/drawingml/2006/main">
            <a:off x="747958" y="1368728"/>
            <a:ext cx="1356094" cy="2454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1000" b="1">
                <a:latin typeface="Arial" pitchFamily="34" charset="0"/>
                <a:cs typeface="Arial" pitchFamily="34" charset="0"/>
              </a:rPr>
              <a:t>Fixed</a:t>
            </a:r>
            <a:r>
              <a:rPr lang="fr-FR" sz="1000" b="1" baseline="0">
                <a:latin typeface="Arial" pitchFamily="34" charset="0"/>
                <a:cs typeface="Arial" pitchFamily="34" charset="0"/>
              </a:rPr>
              <a:t> </a:t>
            </a:r>
            <a:r>
              <a:rPr lang="fr-FR" sz="1000" b="1">
                <a:latin typeface="Arial" pitchFamily="34" charset="0"/>
                <a:cs typeface="Arial" pitchFamily="34" charset="0"/>
              </a:rPr>
              <a:t>2014 (7/16)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3" name="ZoneTexte 1"/>
          <cdr:cNvSpPr txBox="1"/>
        </cdr:nvSpPr>
        <cdr:spPr>
          <a:xfrm xmlns:a="http://schemas.openxmlformats.org/drawingml/2006/main">
            <a:off x="2944057" y="972588"/>
            <a:ext cx="1887461" cy="247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Mobile</a:t>
            </a:r>
            <a:r>
              <a:rPr lang="fr-FR" sz="1000" baseline="0">
                <a:latin typeface="Arial" pitchFamily="34" charset="0"/>
                <a:cs typeface="Arial" pitchFamily="34" charset="0"/>
              </a:rPr>
              <a:t> </a:t>
            </a:r>
            <a:r>
              <a:rPr lang="fr-FR" sz="1000">
                <a:latin typeface="Arial" pitchFamily="34" charset="0"/>
                <a:cs typeface="Arial" pitchFamily="34" charset="0"/>
              </a:rPr>
              <a:t>2010 (8/15) </a:t>
            </a:r>
          </a:p>
        </cdr:txBody>
      </cdr:sp>
      <cdr:sp macro="" textlink="">
        <cdr:nvSpPr>
          <cdr:cNvPr id="4" name="ZoneTexte 1"/>
          <cdr:cNvSpPr txBox="1"/>
        </cdr:nvSpPr>
        <cdr:spPr>
          <a:xfrm xmlns:a="http://schemas.openxmlformats.org/drawingml/2006/main">
            <a:off x="3552371" y="581378"/>
            <a:ext cx="1322733" cy="2368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Fixed 2008 (14/16) </a:t>
            </a:r>
          </a:p>
        </cdr:txBody>
      </cdr:sp>
      <cdr:sp macro="" textlink="">
        <cdr:nvSpPr>
          <cdr:cNvPr id="5" name="ZoneTexte 1"/>
          <cdr:cNvSpPr txBox="1"/>
        </cdr:nvSpPr>
        <cdr:spPr>
          <a:xfrm xmlns:a="http://schemas.openxmlformats.org/drawingml/2006/main">
            <a:off x="4148537" y="199257"/>
            <a:ext cx="1301328" cy="26201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aseline="0">
                <a:latin typeface="Arial" pitchFamily="34" charset="0"/>
                <a:cs typeface="Arial" pitchFamily="34" charset="0"/>
                <a:sym typeface="Symbol"/>
              </a:rPr>
              <a:t> </a:t>
            </a:r>
            <a:r>
              <a:rPr lang="fr-FR" sz="1000" baseline="0">
                <a:latin typeface="Arial" pitchFamily="34" charset="0"/>
                <a:cs typeface="Arial" pitchFamily="34" charset="0"/>
              </a:rPr>
              <a:t>Mobile 2006 (7/12)</a:t>
            </a:r>
            <a:endParaRPr lang="fr-FR" sz="1000">
              <a:latin typeface="Arial" pitchFamily="34" charset="0"/>
              <a:cs typeface="Arial" pitchFamily="34" charset="0"/>
            </a:endParaRPr>
          </a:p>
        </cdr:txBody>
      </cdr:sp>
      <cdr:sp macro="" textlink="">
        <cdr:nvSpPr>
          <cdr:cNvPr id="6" name="ZoneTexte 1"/>
          <cdr:cNvSpPr txBox="1"/>
        </cdr:nvSpPr>
        <cdr:spPr>
          <a:xfrm xmlns:a="http://schemas.openxmlformats.org/drawingml/2006/main">
            <a:off x="624646" y="972730"/>
            <a:ext cx="1372388" cy="2557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1">
                <a:latin typeface="Arial" pitchFamily="34" charset="0"/>
                <a:cs typeface="Arial" pitchFamily="34" charset="0"/>
              </a:rPr>
              <a:t>Mobile 2014 (6/15</a:t>
            </a:r>
            <a:r>
              <a:rPr lang="fr-FR" sz="1000">
                <a:latin typeface="Arial" pitchFamily="34" charset="0"/>
                <a:cs typeface="Arial" pitchFamily="34" charset="0"/>
              </a:rPr>
              <a:t>)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7" name="ZoneTexte 1"/>
          <cdr:cNvSpPr txBox="1"/>
        </cdr:nvSpPr>
        <cdr:spPr>
          <a:xfrm xmlns:a="http://schemas.openxmlformats.org/drawingml/2006/main">
            <a:off x="2693615" y="1368729"/>
            <a:ext cx="1182285" cy="2454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Fixed 2010</a:t>
            </a:r>
            <a:r>
              <a:rPr lang="fr-FR" sz="1000" baseline="0">
                <a:latin typeface="Arial" pitchFamily="34" charset="0"/>
                <a:cs typeface="Arial" pitchFamily="34" charset="0"/>
              </a:rPr>
              <a:t> </a:t>
            </a:r>
            <a:r>
              <a:rPr lang="fr-FR" sz="1000">
                <a:latin typeface="Arial" pitchFamily="34" charset="0"/>
                <a:cs typeface="Arial" pitchFamily="34" charset="0"/>
              </a:rPr>
              <a:t>(10/16) </a:t>
            </a:r>
          </a:p>
        </cdr:txBody>
      </cdr:sp>
      <cdr:sp macro="" textlink="">
        <cdr:nvSpPr>
          <cdr:cNvPr id="8" name="ZoneTexte 1"/>
          <cdr:cNvSpPr txBox="1"/>
        </cdr:nvSpPr>
        <cdr:spPr>
          <a:xfrm xmlns:a="http://schemas.openxmlformats.org/drawingml/2006/main">
            <a:off x="1713161" y="199257"/>
            <a:ext cx="1029097" cy="2497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rPr>
              <a:t>Mobile 2010 (3/12)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9" name="ZoneTexte 1"/>
          <cdr:cNvSpPr txBox="1"/>
        </cdr:nvSpPr>
        <cdr:spPr>
          <a:xfrm xmlns:a="http://schemas.openxmlformats.org/drawingml/2006/main">
            <a:off x="1506427" y="581378"/>
            <a:ext cx="1063738" cy="2454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latin typeface="Arial" pitchFamily="34" charset="0"/>
                <a:cs typeface="Arial" pitchFamily="34" charset="0"/>
              </a:rPr>
              <a:t>Fixed  2010 (6/16) </a:t>
            </a:r>
            <a:r>
              <a:rPr lang="fr-FR" sz="1000">
                <a:latin typeface="Arial" pitchFamily="34" charset="0"/>
                <a:cs typeface="Arial" pitchFamily="34" charset="0"/>
                <a:sym typeface="Symbol"/>
              </a:rPr>
              <a:t></a:t>
            </a:r>
            <a:endParaRPr lang="fr-FR" sz="1000">
              <a:latin typeface="Arial" pitchFamily="34" charset="0"/>
              <a:cs typeface="Arial" pitchFamily="34" charset="0"/>
            </a:endParaRPr>
          </a:p>
        </cdr:txBody>
      </cdr:sp>
      <cdr:sp macro="" textlink="">
        <cdr:nvSpPr>
          <cdr:cNvPr id="10" name="ZoneTexte 1"/>
          <cdr:cNvSpPr txBox="1"/>
        </cdr:nvSpPr>
        <cdr:spPr>
          <a:xfrm xmlns:a="http://schemas.openxmlformats.org/drawingml/2006/main">
            <a:off x="1638517" y="1172807"/>
            <a:ext cx="796026" cy="2265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solidFill>
                  <a:schemeClr val="bg1">
                    <a:lumMod val="50000"/>
                  </a:schemeClr>
                </a:solidFill>
                <a:latin typeface="Arial" pitchFamily="34" charset="0"/>
                <a:cs typeface="Arial" pitchFamily="34" charset="0"/>
              </a:rPr>
              <a:t>Average </a:t>
            </a:r>
            <a:r>
              <a:rPr lang="fr-FR" sz="1000" baseline="0">
                <a:solidFill>
                  <a:schemeClr val="bg1">
                    <a:lumMod val="50000"/>
                  </a:schemeClr>
                </a:solidFill>
                <a:latin typeface="Arial" pitchFamily="34" charset="0"/>
                <a:cs typeface="Arial" pitchFamily="34" charset="0"/>
                <a:sym typeface="Symbol"/>
              </a:rPr>
              <a:t></a:t>
            </a:r>
            <a:endParaRPr lang="fr-FR" sz="1000">
              <a:solidFill>
                <a:schemeClr val="bg1">
                  <a:lumMod val="50000"/>
                </a:schemeClr>
              </a:solidFill>
              <a:latin typeface="Arial" pitchFamily="34" charset="0"/>
              <a:cs typeface="Arial" pitchFamily="34" charset="0"/>
            </a:endParaRPr>
          </a:p>
        </cdr:txBody>
      </cdr:sp>
      <cdr:sp macro="" textlink="">
        <cdr:nvSpPr>
          <cdr:cNvPr id="15" name="ZoneTexte 1"/>
          <cdr:cNvSpPr txBox="1"/>
        </cdr:nvSpPr>
        <cdr:spPr>
          <a:xfrm xmlns:a="http://schemas.openxmlformats.org/drawingml/2006/main">
            <a:off x="2545614" y="1172807"/>
            <a:ext cx="615065" cy="2265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solidFill>
                  <a:sysClr val="window" lastClr="FFFFFF">
                    <a:lumMod val="50000"/>
                  </a:sysClr>
                </a:solidFill>
                <a:latin typeface="Arial" pitchFamily="34" charset="0"/>
                <a:cs typeface="Arial" pitchFamily="34" charset="0"/>
                <a:sym typeface="Symbol"/>
              </a:rPr>
              <a:t></a:t>
            </a:r>
            <a:r>
              <a:rPr lang="fr-FR" sz="1000">
                <a:solidFill>
                  <a:sysClr val="window" lastClr="FFFFFF">
                    <a:lumMod val="50000"/>
                  </a:sysClr>
                </a:solidFill>
                <a:latin typeface="Arial" pitchFamily="34" charset="0"/>
                <a:cs typeface="Arial" pitchFamily="34" charset="0"/>
              </a:rPr>
              <a:t>Median</a:t>
            </a:r>
          </a:p>
        </cdr:txBody>
      </cdr:sp>
      <cdr:sp macro="" textlink="">
        <cdr:nvSpPr>
          <cdr:cNvPr id="16" name="ZoneTexte 15"/>
          <cdr:cNvSpPr txBox="1"/>
        </cdr:nvSpPr>
        <cdr:spPr>
          <a:xfrm xmlns:a="http://schemas.openxmlformats.org/drawingml/2006/main">
            <a:off x="281532" y="192338"/>
            <a:ext cx="1065652" cy="248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aseline="0">
                <a:latin typeface="Arial" pitchFamily="34" charset="0"/>
              </a:rPr>
              <a:t>Were in 2010</a:t>
            </a:r>
          </a:p>
        </cdr:txBody>
      </cdr:sp>
      <cdr:sp macro="" textlink="">
        <cdr:nvSpPr>
          <cdr:cNvPr id="18" name="ZoneTexte 1"/>
          <cdr:cNvSpPr txBox="1"/>
        </cdr:nvSpPr>
        <cdr:spPr>
          <a:xfrm xmlns:a="http://schemas.openxmlformats.org/drawingml/2006/main">
            <a:off x="4916500" y="1371856"/>
            <a:ext cx="742950" cy="2556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baseline="0">
                <a:latin typeface="Arial" pitchFamily="34" charset="0"/>
              </a:rPr>
              <a:t>In 2014</a:t>
            </a:r>
          </a:p>
        </cdr:txBody>
      </cdr:sp>
    </cdr:grpSp>
  </cdr:relSizeAnchor>
</c:userShapes>
</file>

<file path=xl/drawings/drawing2.xml><?xml version="1.0" encoding="utf-8"?>
<c:userShapes xmlns:c="http://schemas.openxmlformats.org/drawingml/2006/chart">
  <cdr:relSizeAnchor xmlns:cdr="http://schemas.openxmlformats.org/drawingml/2006/chartDrawing">
    <cdr:from>
      <cdr:x>0.03834</cdr:x>
      <cdr:y>0.45435</cdr:y>
    </cdr:from>
    <cdr:to>
      <cdr:x>0.95794</cdr:x>
      <cdr:y>0.45435</cdr:y>
    </cdr:to>
    <cdr:sp macro="" textlink="">
      <cdr:nvSpPr>
        <cdr:cNvPr id="14" name="Connecteur droit 13"/>
        <cdr:cNvSpPr/>
      </cdr:nvSpPr>
      <cdr:spPr>
        <a:xfrm xmlns:a="http://schemas.openxmlformats.org/drawingml/2006/main">
          <a:off x="231139" y="909782"/>
          <a:ext cx="5544000" cy="0"/>
        </a:xfrm>
        <a:prstGeom xmlns:a="http://schemas.openxmlformats.org/drawingml/2006/main" prst="line">
          <a:avLst/>
        </a:prstGeom>
        <a:ln xmlns:a="http://schemas.openxmlformats.org/drawingml/2006/main" w="6350">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0.03551</cdr:x>
      <cdr:y>0.09952</cdr:y>
    </cdr:from>
    <cdr:to>
      <cdr:x>0.88347</cdr:x>
      <cdr:y>0.79274</cdr:y>
    </cdr:to>
    <cdr:grpSp>
      <cdr:nvGrpSpPr>
        <cdr:cNvPr id="19" name="Groupe 18"/>
        <cdr:cNvGrpSpPr/>
      </cdr:nvGrpSpPr>
      <cdr:grpSpPr>
        <a:xfrm xmlns:a="http://schemas.openxmlformats.org/drawingml/2006/main">
          <a:off x="142734" y="179158"/>
          <a:ext cx="3408417" cy="1247952"/>
          <a:chOff x="214084" y="199257"/>
          <a:chExt cx="5112102" cy="1388086"/>
        </a:xfrm>
      </cdr:grpSpPr>
      <cdr:sp macro="" textlink="">
        <cdr:nvSpPr>
          <cdr:cNvPr id="2" name="ZoneTexte 1"/>
          <cdr:cNvSpPr txBox="1"/>
        </cdr:nvSpPr>
        <cdr:spPr>
          <a:xfrm xmlns:a="http://schemas.openxmlformats.org/drawingml/2006/main">
            <a:off x="1046411" y="1341934"/>
            <a:ext cx="1171672" cy="2454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1000" b="1">
                <a:latin typeface="Arial" pitchFamily="34" charset="0"/>
                <a:cs typeface="Arial" pitchFamily="34" charset="0"/>
              </a:rPr>
              <a:t>Fixed (7/16)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3" name="ZoneTexte 1"/>
          <cdr:cNvSpPr txBox="1"/>
        </cdr:nvSpPr>
        <cdr:spPr>
          <a:xfrm xmlns:a="http://schemas.openxmlformats.org/drawingml/2006/main">
            <a:off x="2884367" y="963658"/>
            <a:ext cx="1887461" cy="247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M</a:t>
            </a:r>
            <a:r>
              <a:rPr lang="fr-FR" sz="1000" baseline="0">
                <a:latin typeface="Arial" pitchFamily="34" charset="0"/>
                <a:cs typeface="Arial" pitchFamily="34" charset="0"/>
              </a:rPr>
              <a:t> </a:t>
            </a:r>
            <a:r>
              <a:rPr lang="fr-FR" sz="1000">
                <a:latin typeface="Arial" pitchFamily="34" charset="0"/>
                <a:cs typeface="Arial" pitchFamily="34" charset="0"/>
              </a:rPr>
              <a:t>2010 (8) </a:t>
            </a:r>
          </a:p>
        </cdr:txBody>
      </cdr:sp>
      <cdr:sp macro="" textlink="">
        <cdr:nvSpPr>
          <cdr:cNvPr id="4" name="ZoneTexte 1"/>
          <cdr:cNvSpPr txBox="1"/>
        </cdr:nvSpPr>
        <cdr:spPr>
          <a:xfrm xmlns:a="http://schemas.openxmlformats.org/drawingml/2006/main">
            <a:off x="3492681" y="591280"/>
            <a:ext cx="1322733" cy="2368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 2008 (14/16) </a:t>
            </a:r>
          </a:p>
        </cdr:txBody>
      </cdr:sp>
      <cdr:sp macro="" textlink="">
        <cdr:nvSpPr>
          <cdr:cNvPr id="5" name="ZoneTexte 1"/>
          <cdr:cNvSpPr txBox="1"/>
        </cdr:nvSpPr>
        <cdr:spPr>
          <a:xfrm xmlns:a="http://schemas.openxmlformats.org/drawingml/2006/main">
            <a:off x="4024858" y="199257"/>
            <a:ext cx="1301328" cy="26201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aseline="0">
                <a:latin typeface="Arial" pitchFamily="34" charset="0"/>
                <a:cs typeface="Arial" pitchFamily="34" charset="0"/>
                <a:sym typeface="Symbol"/>
              </a:rPr>
              <a:t> </a:t>
            </a:r>
            <a:r>
              <a:rPr lang="fr-FR" sz="1000" baseline="0">
                <a:latin typeface="Arial" pitchFamily="34" charset="0"/>
                <a:cs typeface="Arial" pitchFamily="34" charset="0"/>
              </a:rPr>
              <a:t>M 2006 (7/12)</a:t>
            </a:r>
            <a:endParaRPr lang="fr-FR" sz="1000">
              <a:latin typeface="Arial" pitchFamily="34" charset="0"/>
              <a:cs typeface="Arial" pitchFamily="34" charset="0"/>
            </a:endParaRPr>
          </a:p>
        </cdr:txBody>
      </cdr:sp>
      <cdr:sp macro="" textlink="">
        <cdr:nvSpPr>
          <cdr:cNvPr id="6" name="ZoneTexte 1"/>
          <cdr:cNvSpPr txBox="1"/>
        </cdr:nvSpPr>
        <cdr:spPr>
          <a:xfrm xmlns:a="http://schemas.openxmlformats.org/drawingml/2006/main">
            <a:off x="505266" y="963658"/>
            <a:ext cx="1372388" cy="2557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1">
                <a:latin typeface="Arial" pitchFamily="34" charset="0"/>
                <a:cs typeface="Arial" pitchFamily="34" charset="0"/>
              </a:rPr>
              <a:t>Mobile (6/15</a:t>
            </a:r>
            <a:r>
              <a:rPr lang="fr-FR" sz="1000">
                <a:latin typeface="Arial" pitchFamily="34" charset="0"/>
                <a:cs typeface="Arial" pitchFamily="34" charset="0"/>
              </a:rPr>
              <a:t>)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7" name="ZoneTexte 1"/>
          <cdr:cNvSpPr txBox="1"/>
        </cdr:nvSpPr>
        <cdr:spPr>
          <a:xfrm xmlns:a="http://schemas.openxmlformats.org/drawingml/2006/main">
            <a:off x="2645863" y="1341936"/>
            <a:ext cx="1182286" cy="2454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sym typeface="Symbol"/>
              </a:rPr>
              <a:t> </a:t>
            </a:r>
            <a:r>
              <a:rPr lang="fr-FR" sz="1000">
                <a:latin typeface="Arial" pitchFamily="34" charset="0"/>
                <a:cs typeface="Arial" pitchFamily="34" charset="0"/>
              </a:rPr>
              <a:t>F 2010</a:t>
            </a:r>
            <a:r>
              <a:rPr lang="fr-FR" sz="1000" baseline="0">
                <a:latin typeface="Arial" pitchFamily="34" charset="0"/>
                <a:cs typeface="Arial" pitchFamily="34" charset="0"/>
              </a:rPr>
              <a:t> </a:t>
            </a:r>
            <a:r>
              <a:rPr lang="fr-FR" sz="1000">
                <a:latin typeface="Arial" pitchFamily="34" charset="0"/>
                <a:cs typeface="Arial" pitchFamily="34" charset="0"/>
              </a:rPr>
              <a:t>(10) </a:t>
            </a:r>
          </a:p>
        </cdr:txBody>
      </cdr:sp>
      <cdr:sp macro="" textlink="">
        <cdr:nvSpPr>
          <cdr:cNvPr id="8" name="ZoneTexte 1"/>
          <cdr:cNvSpPr txBox="1"/>
        </cdr:nvSpPr>
        <cdr:spPr>
          <a:xfrm xmlns:a="http://schemas.openxmlformats.org/drawingml/2006/main">
            <a:off x="1713162" y="199257"/>
            <a:ext cx="1029098" cy="2497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itchFamily="34" charset="0"/>
                <a:cs typeface="Arial" pitchFamily="34" charset="0"/>
              </a:rPr>
              <a:t>M 2010 (3) </a:t>
            </a:r>
            <a:r>
              <a:rPr lang="fr-FR" sz="1000">
                <a:latin typeface="Arial" pitchFamily="34" charset="0"/>
                <a:cs typeface="Arial" pitchFamily="34" charset="0"/>
                <a:sym typeface="Symbol"/>
              </a:rPr>
              <a:t></a:t>
            </a:r>
            <a:r>
              <a:rPr lang="fr-FR" sz="1000">
                <a:latin typeface="Arial" pitchFamily="34" charset="0"/>
                <a:cs typeface="Arial" pitchFamily="34" charset="0"/>
              </a:rPr>
              <a:t>  </a:t>
            </a:r>
          </a:p>
        </cdr:txBody>
      </cdr:sp>
      <cdr:sp macro="" textlink="">
        <cdr:nvSpPr>
          <cdr:cNvPr id="9" name="ZoneTexte 1"/>
          <cdr:cNvSpPr txBox="1"/>
        </cdr:nvSpPr>
        <cdr:spPr>
          <a:xfrm xmlns:a="http://schemas.openxmlformats.org/drawingml/2006/main">
            <a:off x="1530550" y="591280"/>
            <a:ext cx="1063738" cy="2454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a:latin typeface="Arial" pitchFamily="34" charset="0"/>
                <a:cs typeface="Arial" pitchFamily="34" charset="0"/>
              </a:rPr>
              <a:t>F</a:t>
            </a:r>
            <a:r>
              <a:rPr lang="fr-FR" sz="1000" baseline="0">
                <a:latin typeface="Arial" pitchFamily="34" charset="0"/>
                <a:cs typeface="Arial" pitchFamily="34" charset="0"/>
              </a:rPr>
              <a:t> </a:t>
            </a:r>
            <a:r>
              <a:rPr lang="fr-FR" sz="1000">
                <a:latin typeface="Arial" pitchFamily="34" charset="0"/>
                <a:cs typeface="Arial" pitchFamily="34" charset="0"/>
              </a:rPr>
              <a:t>2010 (6) </a:t>
            </a:r>
            <a:r>
              <a:rPr lang="fr-FR" sz="1000">
                <a:latin typeface="Arial" pitchFamily="34" charset="0"/>
                <a:cs typeface="Arial" pitchFamily="34" charset="0"/>
                <a:sym typeface="Symbol"/>
              </a:rPr>
              <a:t></a:t>
            </a:r>
            <a:endParaRPr lang="fr-FR" sz="1000">
              <a:latin typeface="Arial" pitchFamily="34" charset="0"/>
              <a:cs typeface="Arial" pitchFamily="34" charset="0"/>
            </a:endParaRPr>
          </a:p>
        </cdr:txBody>
      </cdr:sp>
      <cdr:sp macro="" textlink="">
        <cdr:nvSpPr>
          <cdr:cNvPr id="10" name="ZoneTexte 1"/>
          <cdr:cNvSpPr txBox="1"/>
        </cdr:nvSpPr>
        <cdr:spPr>
          <a:xfrm xmlns:a="http://schemas.openxmlformats.org/drawingml/2006/main">
            <a:off x="1745961" y="1154944"/>
            <a:ext cx="796026" cy="2265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900">
                <a:solidFill>
                  <a:schemeClr val="bg1">
                    <a:lumMod val="50000"/>
                  </a:schemeClr>
                </a:solidFill>
                <a:latin typeface="Arial" pitchFamily="34" charset="0"/>
                <a:cs typeface="Arial" pitchFamily="34" charset="0"/>
              </a:rPr>
              <a:t>Avg. </a:t>
            </a:r>
            <a:r>
              <a:rPr lang="fr-FR" sz="900" baseline="0">
                <a:solidFill>
                  <a:schemeClr val="bg1">
                    <a:lumMod val="50000"/>
                  </a:schemeClr>
                </a:solidFill>
                <a:latin typeface="Arial" pitchFamily="34" charset="0"/>
                <a:cs typeface="Arial" pitchFamily="34" charset="0"/>
                <a:sym typeface="Symbol"/>
              </a:rPr>
              <a:t></a:t>
            </a:r>
            <a:endParaRPr lang="fr-FR" sz="900">
              <a:solidFill>
                <a:schemeClr val="bg1">
                  <a:lumMod val="50000"/>
                </a:schemeClr>
              </a:solidFill>
              <a:latin typeface="Arial" pitchFamily="34" charset="0"/>
              <a:cs typeface="Arial" pitchFamily="34" charset="0"/>
            </a:endParaRPr>
          </a:p>
        </cdr:txBody>
      </cdr:sp>
      <cdr:sp macro="" textlink="">
        <cdr:nvSpPr>
          <cdr:cNvPr id="15" name="ZoneTexte 1"/>
          <cdr:cNvSpPr txBox="1"/>
        </cdr:nvSpPr>
        <cdr:spPr>
          <a:xfrm xmlns:a="http://schemas.openxmlformats.org/drawingml/2006/main">
            <a:off x="2545614" y="1154944"/>
            <a:ext cx="615066" cy="2265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900">
                <a:solidFill>
                  <a:sysClr val="window" lastClr="FFFFFF">
                    <a:lumMod val="50000"/>
                  </a:sysClr>
                </a:solidFill>
                <a:latin typeface="Arial" pitchFamily="34" charset="0"/>
                <a:cs typeface="Arial" pitchFamily="34" charset="0"/>
                <a:sym typeface="Symbol"/>
              </a:rPr>
              <a:t></a:t>
            </a:r>
            <a:r>
              <a:rPr lang="fr-FR" sz="900">
                <a:solidFill>
                  <a:sysClr val="window" lastClr="FFFFFF">
                    <a:lumMod val="50000"/>
                  </a:sysClr>
                </a:solidFill>
                <a:latin typeface="Arial" pitchFamily="34" charset="0"/>
                <a:cs typeface="Arial" pitchFamily="34" charset="0"/>
              </a:rPr>
              <a:t>Median</a:t>
            </a:r>
          </a:p>
        </cdr:txBody>
      </cdr:sp>
      <cdr:sp macro="" textlink="">
        <cdr:nvSpPr>
          <cdr:cNvPr id="16" name="ZoneTexte 15"/>
          <cdr:cNvSpPr txBox="1"/>
        </cdr:nvSpPr>
        <cdr:spPr>
          <a:xfrm xmlns:a="http://schemas.openxmlformats.org/drawingml/2006/main">
            <a:off x="214084" y="618117"/>
            <a:ext cx="1065652" cy="248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aseline="0">
                <a:latin typeface="Arial" pitchFamily="34" charset="0"/>
              </a:rPr>
              <a:t>2010 benchmark</a:t>
            </a:r>
          </a:p>
        </cdr:txBody>
      </cdr:sp>
    </cdr:grpSp>
  </cdr:relSizeAnchor>
  <cdr:relSizeAnchor xmlns:cdr="http://schemas.openxmlformats.org/drawingml/2006/chartDrawing">
    <cdr:from>
      <cdr:x>0.71485</cdr:x>
      <cdr:y>0.67351</cdr:y>
    </cdr:from>
    <cdr:to>
      <cdr:x>0.89161</cdr:x>
      <cdr:y>0.79756</cdr:y>
    </cdr:to>
    <cdr:sp macro="" textlink="">
      <cdr:nvSpPr>
        <cdr:cNvPr id="17" name="ZoneTexte 1"/>
        <cdr:cNvSpPr txBox="1"/>
      </cdr:nvSpPr>
      <cdr:spPr>
        <a:xfrm xmlns:a="http://schemas.openxmlformats.org/drawingml/2006/main">
          <a:off x="2865437" y="1198562"/>
          <a:ext cx="708541" cy="22076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aseline="0">
              <a:latin typeface="Arial" pitchFamily="34" charset="0"/>
            </a:rPr>
            <a:t>2014 benchmark</a:t>
          </a:r>
        </a:p>
      </cdr:txBody>
    </cdr:sp>
  </cdr:relSizeAnchor>
  <cdr:relSizeAnchor xmlns:cdr="http://schemas.openxmlformats.org/drawingml/2006/chartDrawing">
    <cdr:from>
      <cdr:x>0.03168</cdr:x>
      <cdr:y>0.01338</cdr:y>
    </cdr:from>
    <cdr:to>
      <cdr:x>0.31644</cdr:x>
      <cdr:y>0.27921</cdr:y>
    </cdr:to>
    <cdr:sp macro="" textlink="">
      <cdr:nvSpPr>
        <cdr:cNvPr id="20" name="ZoneTexte 1"/>
        <cdr:cNvSpPr txBox="1"/>
      </cdr:nvSpPr>
      <cdr:spPr>
        <a:xfrm xmlns:a="http://schemas.openxmlformats.org/drawingml/2006/main">
          <a:off x="127000" y="23812"/>
          <a:ext cx="1141411" cy="47307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900" baseline="0">
              <a:latin typeface="Arial" pitchFamily="34" charset="0"/>
            </a:rPr>
            <a:t>NRAs WACC ranges</a:t>
          </a:r>
          <a:br>
            <a:rPr lang="fr-FR" sz="900" baseline="0">
              <a:latin typeface="Arial" pitchFamily="34" charset="0"/>
            </a:rPr>
          </a:br>
          <a:r>
            <a:rPr lang="fr-FR" sz="900" baseline="0">
              <a:latin typeface="Arial" pitchFamily="34" charset="0"/>
            </a:rPr>
            <a:t>&amp; </a:t>
          </a:r>
          <a:r>
            <a:rPr lang="fr-FR" sz="900" b="1" baseline="0">
              <a:latin typeface="Arial" pitchFamily="34" charset="0"/>
            </a:rPr>
            <a:t>BIPT ranking</a:t>
          </a:r>
          <a:r>
            <a:rPr lang="fr-FR" sz="900" baseline="0">
              <a:latin typeface="Arial" pitchFamily="34" charset="0"/>
            </a:rPr>
            <a:t/>
          </a:r>
          <a:br>
            <a:rPr lang="fr-FR" sz="900" baseline="0">
              <a:latin typeface="Arial" pitchFamily="34" charset="0"/>
            </a:rPr>
          </a:br>
          <a:r>
            <a:rPr lang="fr-FR" sz="900" baseline="0">
              <a:latin typeface="Arial" pitchFamily="34" charset="0"/>
            </a:rPr>
            <a:t>(from low to high)</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217393</xdr:colOff>
      <xdr:row>26</xdr:row>
      <xdr:rowOff>145678</xdr:rowOff>
    </xdr:from>
    <xdr:to>
      <xdr:col>7</xdr:col>
      <xdr:colOff>677956</xdr:colOff>
      <xdr:row>71</xdr:row>
      <xdr:rowOff>44824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476948</xdr:colOff>
      <xdr:row>30</xdr:row>
      <xdr:rowOff>103093</xdr:rowOff>
    </xdr:from>
    <xdr:to>
      <xdr:col>15</xdr:col>
      <xdr:colOff>656245</xdr:colOff>
      <xdr:row>52</xdr:row>
      <xdr:rowOff>47065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194282</xdr:colOff>
      <xdr:row>28</xdr:row>
      <xdr:rowOff>136570</xdr:rowOff>
    </xdr:from>
    <xdr:to>
      <xdr:col>10</xdr:col>
      <xdr:colOff>140073</xdr:colOff>
      <xdr:row>64</xdr:row>
      <xdr:rowOff>125366</xdr:rowOff>
    </xdr:to>
    <xdr:graphicFrame macro="">
      <xdr:nvGraphicFramePr>
        <xdr:cNvPr id="429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28154</xdr:colOff>
      <xdr:row>31</xdr:row>
      <xdr:rowOff>68497</xdr:rowOff>
    </xdr:from>
    <xdr:to>
      <xdr:col>20</xdr:col>
      <xdr:colOff>547688</xdr:colOff>
      <xdr:row>53</xdr:row>
      <xdr:rowOff>36281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56</xdr:col>
      <xdr:colOff>292948</xdr:colOff>
      <xdr:row>3</xdr:row>
      <xdr:rowOff>99906</xdr:rowOff>
    </xdr:from>
    <xdr:to>
      <xdr:col>63</xdr:col>
      <xdr:colOff>467574</xdr:colOff>
      <xdr:row>31</xdr:row>
      <xdr:rowOff>49107</xdr:rowOff>
    </xdr:to>
    <xdr:graphicFrame macro="">
      <xdr:nvGraphicFramePr>
        <xdr:cNvPr id="17" name="Graphique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62</xdr:col>
      <xdr:colOff>77174</xdr:colOff>
      <xdr:row>15</xdr:row>
      <xdr:rowOff>157692</xdr:rowOff>
    </xdr:from>
    <xdr:to>
      <xdr:col>62</xdr:col>
      <xdr:colOff>77174</xdr:colOff>
      <xdr:row>29</xdr:row>
      <xdr:rowOff>11445</xdr:rowOff>
    </xdr:to>
    <xdr:cxnSp macro="">
      <xdr:nvCxnSpPr>
        <xdr:cNvPr id="21" name="Connecteur droit avec flèche 20"/>
        <xdr:cNvCxnSpPr/>
      </xdr:nvCxnSpPr>
      <xdr:spPr>
        <a:xfrm flipV="1">
          <a:off x="37767599" y="2586567"/>
          <a:ext cx="0" cy="2120703"/>
        </a:xfrm>
        <a:prstGeom prst="straightConnector1">
          <a:avLst/>
        </a:prstGeom>
        <a:ln w="1270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301719</xdr:colOff>
      <xdr:row>16</xdr:row>
      <xdr:rowOff>105833</xdr:rowOff>
    </xdr:from>
    <xdr:to>
      <xdr:col>61</xdr:col>
      <xdr:colOff>301719</xdr:colOff>
      <xdr:row>29</xdr:row>
      <xdr:rowOff>23088</xdr:rowOff>
    </xdr:to>
    <xdr:cxnSp macro="">
      <xdr:nvCxnSpPr>
        <xdr:cNvPr id="19" name="Connecteur droit avec flèche 18"/>
        <xdr:cNvCxnSpPr/>
      </xdr:nvCxnSpPr>
      <xdr:spPr>
        <a:xfrm flipV="1">
          <a:off x="37515894" y="2696633"/>
          <a:ext cx="0" cy="2022280"/>
        </a:xfrm>
        <a:prstGeom prst="straightConnector1">
          <a:avLst/>
        </a:prstGeom>
        <a:ln w="1905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201083</xdr:colOff>
      <xdr:row>7</xdr:row>
      <xdr:rowOff>17357</xdr:rowOff>
    </xdr:from>
    <xdr:to>
      <xdr:col>79</xdr:col>
      <xdr:colOff>364914</xdr:colOff>
      <xdr:row>31</xdr:row>
      <xdr:rowOff>76200</xdr:rowOff>
    </xdr:to>
    <xdr:graphicFrame macro="">
      <xdr:nvGraphicFramePr>
        <xdr:cNvPr id="26" name="Graphique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82</xdr:col>
      <xdr:colOff>110067</xdr:colOff>
      <xdr:row>6</xdr:row>
      <xdr:rowOff>74083</xdr:rowOff>
    </xdr:from>
    <xdr:to>
      <xdr:col>88</xdr:col>
      <xdr:colOff>1</xdr:colOff>
      <xdr:row>31</xdr:row>
      <xdr:rowOff>67734</xdr:rowOff>
    </xdr:to>
    <xdr:graphicFrame macro="">
      <xdr:nvGraphicFramePr>
        <xdr:cNvPr id="27" name="Graphique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49</xdr:col>
      <xdr:colOff>292096</xdr:colOff>
      <xdr:row>8</xdr:row>
      <xdr:rowOff>97366</xdr:rowOff>
    </xdr:from>
    <xdr:to>
      <xdr:col>56</xdr:col>
      <xdr:colOff>349249</xdr:colOff>
      <xdr:row>31</xdr:row>
      <xdr:rowOff>74386</xdr:rowOff>
    </xdr:to>
    <xdr:graphicFrame macro="">
      <xdr:nvGraphicFramePr>
        <xdr:cNvPr id="29" name="Graphique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65</xdr:col>
      <xdr:colOff>93648</xdr:colOff>
      <xdr:row>7</xdr:row>
      <xdr:rowOff>101721</xdr:rowOff>
    </xdr:from>
    <xdr:to>
      <xdr:col>72</xdr:col>
      <xdr:colOff>278976</xdr:colOff>
      <xdr:row>31</xdr:row>
      <xdr:rowOff>29937</xdr:rowOff>
    </xdr:to>
    <xdr:graphicFrame macro="">
      <xdr:nvGraphicFramePr>
        <xdr:cNvPr id="31" name="Graphique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0.79026</cdr:x>
      <cdr:y>0.38</cdr:y>
    </cdr:from>
    <cdr:to>
      <cdr:x>0.98508</cdr:x>
      <cdr:y>0.43906</cdr:y>
    </cdr:to>
    <cdr:sp macro="" textlink="">
      <cdr:nvSpPr>
        <cdr:cNvPr id="3" name="ZoneTexte 1"/>
        <cdr:cNvSpPr txBox="1"/>
      </cdr:nvSpPr>
      <cdr:spPr>
        <a:xfrm xmlns:a="http://schemas.openxmlformats.org/drawingml/2006/main">
          <a:off x="4097773" y="1731221"/>
          <a:ext cx="1010211" cy="269068"/>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Median </a:t>
          </a:r>
          <a:r>
            <a:rPr lang="fr-FR" sz="1200" baseline="0">
              <a:latin typeface="Arial" pitchFamily="34" charset="0"/>
              <a:cs typeface="Arial" pitchFamily="34" charset="0"/>
            </a:rPr>
            <a:t>9,4%*</a:t>
          </a:r>
          <a:r>
            <a:rPr lang="fr-FR" sz="1200">
              <a:latin typeface="Arial" pitchFamily="34" charset="0"/>
              <a:cs typeface="Arial" pitchFamily="34" charset="0"/>
            </a:rPr>
            <a:t> </a:t>
          </a:r>
        </a:p>
      </cdr:txBody>
    </cdr:sp>
  </cdr:relSizeAnchor>
  <cdr:relSizeAnchor xmlns:cdr="http://schemas.openxmlformats.org/drawingml/2006/chartDrawing">
    <cdr:from>
      <cdr:x>0.79026</cdr:x>
      <cdr:y>0.50126</cdr:y>
    </cdr:from>
    <cdr:to>
      <cdr:x>0.97141</cdr:x>
      <cdr:y>0.57512</cdr:y>
    </cdr:to>
    <cdr:sp macro="" textlink="">
      <cdr:nvSpPr>
        <cdr:cNvPr id="4" name="ZoneTexte 1"/>
        <cdr:cNvSpPr txBox="1"/>
      </cdr:nvSpPr>
      <cdr:spPr>
        <a:xfrm xmlns:a="http://schemas.openxmlformats.org/drawingml/2006/main">
          <a:off x="4097773" y="2283656"/>
          <a:ext cx="939327" cy="336495"/>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itchFamily="34" charset="0"/>
              <a:cs typeface="Arial" pitchFamily="34" charset="0"/>
            </a:rPr>
            <a:t>* Excl. BIPT 2014</a:t>
          </a:r>
          <a:br>
            <a:rPr lang="fr-FR" sz="900">
              <a:latin typeface="Arial" pitchFamily="34" charset="0"/>
              <a:cs typeface="Arial" pitchFamily="34" charset="0"/>
            </a:rPr>
          </a:br>
          <a:r>
            <a:rPr lang="fr-FR" sz="900">
              <a:latin typeface="Arial" pitchFamily="34" charset="0"/>
              <a:cs typeface="Arial" pitchFamily="34" charset="0"/>
            </a:rPr>
            <a:t>&amp; NL/Nera</a:t>
          </a:r>
        </a:p>
      </cdr:txBody>
    </cdr:sp>
  </cdr:relSizeAnchor>
  <cdr:relSizeAnchor xmlns:cdr="http://schemas.openxmlformats.org/drawingml/2006/chartDrawing">
    <cdr:from>
      <cdr:x>0.79026</cdr:x>
      <cdr:y>0.43629</cdr:y>
    </cdr:from>
    <cdr:to>
      <cdr:x>0.98121</cdr:x>
      <cdr:y>0.49135</cdr:y>
    </cdr:to>
    <cdr:sp macro="" textlink="">
      <cdr:nvSpPr>
        <cdr:cNvPr id="2" name="ZoneTexte 1"/>
        <cdr:cNvSpPr txBox="1"/>
      </cdr:nvSpPr>
      <cdr:spPr>
        <a:xfrm xmlns:a="http://schemas.openxmlformats.org/drawingml/2006/main">
          <a:off x="4097773" y="1987669"/>
          <a:ext cx="990143" cy="25084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pPr algn="l"/>
          <a:r>
            <a:rPr lang="fr-FR" sz="1200">
              <a:latin typeface="Arial" pitchFamily="34" charset="0"/>
              <a:cs typeface="Arial" pitchFamily="34" charset="0"/>
            </a:rPr>
            <a:t>Average</a:t>
          </a:r>
          <a:r>
            <a:rPr lang="fr-FR" sz="1200" baseline="0">
              <a:latin typeface="Arial" pitchFamily="34" charset="0"/>
              <a:cs typeface="Arial" pitchFamily="34" charset="0"/>
            </a:rPr>
            <a:t> 8,7%</a:t>
          </a:r>
          <a:endParaRPr lang="fr-FR" sz="1200">
            <a:latin typeface="Arial" pitchFamily="34" charset="0"/>
            <a:cs typeface="Arial" pitchFamily="34" charset="0"/>
          </a:endParaRPr>
        </a:p>
      </cdr:txBody>
    </cdr:sp>
  </cdr:relSizeAnchor>
  <cdr:relSizeAnchor xmlns:cdr="http://schemas.openxmlformats.org/drawingml/2006/chartDrawing">
    <cdr:from>
      <cdr:x>0.77523</cdr:x>
      <cdr:y>0.827</cdr:y>
    </cdr:from>
    <cdr:to>
      <cdr:x>0.93778</cdr:x>
      <cdr:y>0.87569</cdr:y>
    </cdr:to>
    <cdr:sp macro="" textlink="">
      <cdr:nvSpPr>
        <cdr:cNvPr id="5" name="ZoneTexte 1"/>
        <cdr:cNvSpPr txBox="1"/>
      </cdr:nvSpPr>
      <cdr:spPr>
        <a:xfrm xmlns:a="http://schemas.openxmlformats.org/drawingml/2006/main">
          <a:off x="4007883" y="3634013"/>
          <a:ext cx="840377" cy="213954"/>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200" b="1" baseline="0">
              <a:solidFill>
                <a:sysClr val="windowText" lastClr="000000"/>
              </a:solidFill>
              <a:latin typeface="Arial" pitchFamily="34" charset="0"/>
              <a:cs typeface="Arial" pitchFamily="34" charset="0"/>
            </a:rPr>
            <a:t>Fixed WACC</a:t>
          </a:r>
          <a:endParaRPr lang="fr-FR" sz="1200" b="1">
            <a:solidFill>
              <a:sysClr val="windowText" lastClr="000000"/>
            </a:solidFill>
            <a:latin typeface="Arial" pitchFamily="34" charset="0"/>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0.72507</cdr:x>
      <cdr:y>0.56517</cdr:y>
    </cdr:from>
    <cdr:to>
      <cdr:x>0.89401</cdr:x>
      <cdr:y>0.61359</cdr:y>
    </cdr:to>
    <cdr:sp macro="" textlink="">
      <cdr:nvSpPr>
        <cdr:cNvPr id="4" name="ZoneTexte 1"/>
        <cdr:cNvSpPr txBox="1"/>
      </cdr:nvSpPr>
      <cdr:spPr>
        <a:xfrm xmlns:a="http://schemas.openxmlformats.org/drawingml/2006/main">
          <a:off x="4267167" y="2186548"/>
          <a:ext cx="994243" cy="18732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itchFamily="34" charset="0"/>
              <a:cs typeface="Arial" pitchFamily="34" charset="0"/>
            </a:rPr>
            <a:t>* Excl. BIPT 2014</a:t>
          </a:r>
        </a:p>
      </cdr:txBody>
    </cdr:sp>
  </cdr:relSizeAnchor>
  <cdr:relSizeAnchor xmlns:cdr="http://schemas.openxmlformats.org/drawingml/2006/chartDrawing">
    <cdr:from>
      <cdr:x>0.72507</cdr:x>
      <cdr:y>0.38921</cdr:y>
    </cdr:from>
    <cdr:to>
      <cdr:x>0.93536</cdr:x>
      <cdr:y>0.4951</cdr:y>
    </cdr:to>
    <cdr:sp macro="" textlink="">
      <cdr:nvSpPr>
        <cdr:cNvPr id="3" name="ZoneTexte 1"/>
        <cdr:cNvSpPr txBox="1"/>
      </cdr:nvSpPr>
      <cdr:spPr>
        <a:xfrm xmlns:a="http://schemas.openxmlformats.org/drawingml/2006/main">
          <a:off x="4267167" y="1505792"/>
          <a:ext cx="1237595" cy="409672"/>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200">
              <a:latin typeface="Arial" pitchFamily="34" charset="0"/>
              <a:cs typeface="Arial" pitchFamily="34" charset="0"/>
            </a:rPr>
            <a:t>Median </a:t>
          </a:r>
          <a:r>
            <a:rPr lang="fr-FR" sz="1200" baseline="0">
              <a:latin typeface="Arial" pitchFamily="34" charset="0"/>
              <a:cs typeface="Arial" pitchFamily="34" charset="0"/>
            </a:rPr>
            <a:t>10,0%*</a:t>
          </a:r>
        </a:p>
        <a:p xmlns:a="http://schemas.openxmlformats.org/drawingml/2006/main">
          <a:pPr algn="l"/>
          <a:r>
            <a:rPr lang="fr-FR" sz="1200" baseline="0">
              <a:latin typeface="Arial" pitchFamily="34" charset="0"/>
              <a:cs typeface="Arial" pitchFamily="34" charset="0"/>
            </a:rPr>
            <a:t>Average 9,4%</a:t>
          </a:r>
          <a:r>
            <a:rPr lang="fr-FR" sz="1200">
              <a:latin typeface="Arial" pitchFamily="34" charset="0"/>
              <a:cs typeface="Arial" pitchFamily="34" charset="0"/>
            </a:rPr>
            <a:t>*</a:t>
          </a:r>
        </a:p>
      </cdr:txBody>
    </cdr:sp>
  </cdr:relSizeAnchor>
  <cdr:relSizeAnchor xmlns:cdr="http://schemas.openxmlformats.org/drawingml/2006/chartDrawing">
    <cdr:from>
      <cdr:x>0.72507</cdr:x>
      <cdr:y>0.83486</cdr:y>
    </cdr:from>
    <cdr:to>
      <cdr:x>0.90838</cdr:x>
      <cdr:y>0.89074</cdr:y>
    </cdr:to>
    <cdr:sp macro="" textlink="">
      <cdr:nvSpPr>
        <cdr:cNvPr id="11" name="ZoneTexte 1"/>
        <cdr:cNvSpPr txBox="1"/>
      </cdr:nvSpPr>
      <cdr:spPr>
        <a:xfrm xmlns:a="http://schemas.openxmlformats.org/drawingml/2006/main">
          <a:off x="4267167" y="3229942"/>
          <a:ext cx="1078813" cy="216191"/>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fr-FR" sz="1200" b="1" baseline="0">
              <a:solidFill>
                <a:sysClr val="windowText" lastClr="000000"/>
              </a:solidFill>
              <a:latin typeface="Arial" pitchFamily="34" charset="0"/>
              <a:cs typeface="Arial" pitchFamily="34" charset="0"/>
            </a:rPr>
            <a:t>Mobile WACC</a:t>
          </a:r>
          <a:endParaRPr lang="fr-FR" sz="1200" b="1">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0.65862</cdr:x>
      <cdr:y>0.44032</cdr:y>
    </cdr:from>
    <cdr:to>
      <cdr:x>0.65862</cdr:x>
      <cdr:y>0.9155</cdr:y>
    </cdr:to>
    <cdr:sp macro="" textlink="">
      <cdr:nvSpPr>
        <cdr:cNvPr id="6" name="Connecteur droit avec flèche 5"/>
        <cdr:cNvSpPr/>
      </cdr:nvSpPr>
      <cdr:spPr>
        <a:xfrm xmlns:a="http://schemas.openxmlformats.org/drawingml/2006/main" flipV="1">
          <a:off x="3462563" y="1767075"/>
          <a:ext cx="0" cy="1906975"/>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0.68587</cdr:x>
      <cdr:y>0.4133</cdr:y>
    </cdr:from>
    <cdr:to>
      <cdr:x>0.68587</cdr:x>
      <cdr:y>0.91597</cdr:y>
    </cdr:to>
    <cdr:sp macro="" textlink="">
      <cdr:nvSpPr>
        <cdr:cNvPr id="7" name="Connecteur droit avec flèche 6"/>
        <cdr:cNvSpPr/>
      </cdr:nvSpPr>
      <cdr:spPr>
        <a:xfrm xmlns:a="http://schemas.openxmlformats.org/drawingml/2006/main" flipV="1">
          <a:off x="3605827" y="1658657"/>
          <a:ext cx="0" cy="2017278"/>
        </a:xfrm>
        <a:prstGeom xmlns:a="http://schemas.openxmlformats.org/drawingml/2006/main" prst="straightConnector1">
          <a:avLst/>
        </a:prstGeom>
        <a:ln xmlns:a="http://schemas.openxmlformats.org/drawingml/2006/main" w="1270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0.52299</cdr:x>
      <cdr:y>0.41217</cdr:y>
    </cdr:from>
    <cdr:to>
      <cdr:x>0.94511</cdr:x>
      <cdr:y>0.4859</cdr:y>
    </cdr:to>
    <cdr:sp macro="" textlink="">
      <cdr:nvSpPr>
        <cdr:cNvPr id="3" name="ZoneTexte 1"/>
        <cdr:cNvSpPr txBox="1"/>
      </cdr:nvSpPr>
      <cdr:spPr>
        <a:xfrm xmlns:a="http://schemas.openxmlformats.org/drawingml/2006/main">
          <a:off x="2392410" y="1692658"/>
          <a:ext cx="1930977" cy="302782"/>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200" baseline="0">
              <a:latin typeface="Arial" pitchFamily="34" charset="0"/>
              <a:cs typeface="Arial" pitchFamily="34" charset="0"/>
            </a:rPr>
            <a:t>Average = Median = 0,4% *</a:t>
          </a:r>
          <a:br>
            <a:rPr lang="fr-FR" sz="1200" baseline="0">
              <a:latin typeface="Arial" pitchFamily="34" charset="0"/>
              <a:cs typeface="Arial" pitchFamily="34" charset="0"/>
            </a:rPr>
          </a:br>
          <a:endParaRPr lang="fr-FR" sz="1200">
            <a:latin typeface="Arial" pitchFamily="34" charset="0"/>
            <a:cs typeface="Arial" pitchFamily="34" charset="0"/>
          </a:endParaRPr>
        </a:p>
      </cdr:txBody>
    </cdr:sp>
  </cdr:relSizeAnchor>
  <cdr:relSizeAnchor xmlns:cdr="http://schemas.openxmlformats.org/drawingml/2006/chartDrawing">
    <cdr:from>
      <cdr:x>0.52299</cdr:x>
      <cdr:y>0.48062</cdr:y>
    </cdr:from>
    <cdr:to>
      <cdr:x>0.75107</cdr:x>
      <cdr:y>0.53274</cdr:y>
    </cdr:to>
    <cdr:sp macro="" textlink="">
      <cdr:nvSpPr>
        <cdr:cNvPr id="4" name="ZoneTexte 1"/>
        <cdr:cNvSpPr txBox="1"/>
      </cdr:nvSpPr>
      <cdr:spPr>
        <a:xfrm xmlns:a="http://schemas.openxmlformats.org/drawingml/2006/main">
          <a:off x="2392410" y="1973782"/>
          <a:ext cx="1043352" cy="21404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Arial" pitchFamily="34" charset="0"/>
              <a:cs typeface="Arial" pitchFamily="34" charset="0"/>
            </a:rPr>
            <a:t>* Excl. BIPT 2014</a:t>
          </a:r>
        </a:p>
      </cdr:txBody>
    </cdr:sp>
  </cdr:relSizeAnchor>
  <cdr:relSizeAnchor xmlns:cdr="http://schemas.openxmlformats.org/drawingml/2006/chartDrawing">
    <cdr:from>
      <cdr:x>0.486</cdr:x>
      <cdr:y>0.45373</cdr:y>
    </cdr:from>
    <cdr:to>
      <cdr:x>0.486</cdr:x>
      <cdr:y>0.9271</cdr:y>
    </cdr:to>
    <cdr:sp macro="" textlink="">
      <cdr:nvSpPr>
        <cdr:cNvPr id="7" name="Connecteur droit avec flèche 6"/>
        <cdr:cNvSpPr/>
      </cdr:nvSpPr>
      <cdr:spPr>
        <a:xfrm xmlns:a="http://schemas.openxmlformats.org/drawingml/2006/main" flipV="1">
          <a:off x="2223192" y="1863346"/>
          <a:ext cx="0" cy="1944000"/>
        </a:xfrm>
        <a:prstGeom xmlns:a="http://schemas.openxmlformats.org/drawingml/2006/main" prst="straightConnector1">
          <a:avLst/>
        </a:prstGeom>
        <a:ln xmlns:a="http://schemas.openxmlformats.org/drawingml/2006/main" w="19050">
          <a:solidFill>
            <a:srgbClr val="FFC000"/>
          </a:solidFill>
          <a:headEnd type="none" w="med" len="med"/>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0.58899</cdr:x>
      <cdr:y>0.81445</cdr:y>
    </cdr:from>
    <cdr:to>
      <cdr:x>0.94675</cdr:x>
      <cdr:y>0.88094</cdr:y>
    </cdr:to>
    <cdr:sp macro="" textlink="">
      <cdr:nvSpPr>
        <cdr:cNvPr id="5" name="ZoneTexte 1"/>
        <cdr:cNvSpPr txBox="1"/>
      </cdr:nvSpPr>
      <cdr:spPr>
        <a:xfrm xmlns:a="http://schemas.openxmlformats.org/drawingml/2006/main">
          <a:off x="2695478" y="3146941"/>
          <a:ext cx="1637247" cy="25690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fr-FR" sz="1200" b="1" baseline="0">
              <a:solidFill>
                <a:sysClr val="windowText" lastClr="000000"/>
              </a:solidFill>
              <a:latin typeface="Arial" pitchFamily="34" charset="0"/>
              <a:cs typeface="Arial" pitchFamily="34" charset="0"/>
            </a:rPr>
            <a:t>Mobile - Fixed WACC</a:t>
          </a:r>
          <a:endParaRPr lang="fr-FR" sz="1200" b="1">
            <a:solidFill>
              <a:sysClr val="windowText" lastClr="000000"/>
            </a:solidFill>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0.06507</cdr:x>
      <cdr:y>0.10427</cdr:y>
    </cdr:from>
    <cdr:to>
      <cdr:x>0.24874</cdr:x>
      <cdr:y>0.17838</cdr:y>
    </cdr:to>
    <cdr:sp macro="" textlink="">
      <cdr:nvSpPr>
        <cdr:cNvPr id="2" name="ZoneTexte 1"/>
        <cdr:cNvSpPr txBox="1"/>
      </cdr:nvSpPr>
      <cdr:spPr>
        <a:xfrm xmlns:a="http://schemas.openxmlformats.org/drawingml/2006/main">
          <a:off x="358397" y="378317"/>
          <a:ext cx="1011575" cy="2688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solidFill>
                <a:schemeClr val="bg1">
                  <a:lumMod val="50000"/>
                </a:schemeClr>
              </a:solidFill>
              <a:latin typeface="Arial" pitchFamily="34" charset="0"/>
              <a:cs typeface="Arial" pitchFamily="34" charset="0"/>
              <a:sym typeface="Symbol"/>
            </a:rPr>
            <a:t> </a:t>
          </a:r>
          <a:r>
            <a:rPr lang="fr-FR" sz="1000">
              <a:solidFill>
                <a:schemeClr val="bg1">
                  <a:lumMod val="50000"/>
                </a:schemeClr>
              </a:solidFill>
              <a:latin typeface="Arial" pitchFamily="34" charset="0"/>
              <a:cs typeface="Arial" pitchFamily="34" charset="0"/>
            </a:rPr>
            <a:t>BIPT 2008</a:t>
          </a:r>
        </a:p>
      </cdr:txBody>
    </cdr:sp>
  </cdr:relSizeAnchor>
  <cdr:relSizeAnchor xmlns:cdr="http://schemas.openxmlformats.org/drawingml/2006/chartDrawing">
    <cdr:from>
      <cdr:x>0.0901</cdr:x>
      <cdr:y>0.03777</cdr:y>
    </cdr:from>
    <cdr:to>
      <cdr:x>0.21261</cdr:x>
      <cdr:y>0.11188</cdr:y>
    </cdr:to>
    <cdr:sp macro="" textlink="">
      <cdr:nvSpPr>
        <cdr:cNvPr id="6" name="ZoneTexte 1"/>
        <cdr:cNvSpPr txBox="1"/>
      </cdr:nvSpPr>
      <cdr:spPr>
        <a:xfrm xmlns:a="http://schemas.openxmlformats.org/drawingml/2006/main">
          <a:off x="533400" y="144780"/>
          <a:ext cx="725206" cy="2840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baseline="0">
              <a:solidFill>
                <a:sysClr val="windowText" lastClr="000000"/>
              </a:solidFill>
              <a:latin typeface="Arial" pitchFamily="34" charset="0"/>
              <a:cs typeface="Arial" pitchFamily="34" charset="0"/>
            </a:rPr>
            <a:t>Fixed WACC</a:t>
          </a:r>
          <a:endParaRPr lang="fr-FR" sz="1200" b="1">
            <a:solidFill>
              <a:sysClr val="windowText" lastClr="000000"/>
            </a:solidFill>
            <a:latin typeface="Arial" pitchFamily="34" charset="0"/>
            <a:cs typeface="Arial"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0.07597</cdr:x>
      <cdr:y>0.12072</cdr:y>
    </cdr:from>
    <cdr:to>
      <cdr:x>0.20825</cdr:x>
      <cdr:y>0.20933</cdr:y>
    </cdr:to>
    <cdr:sp macro="" textlink="">
      <cdr:nvSpPr>
        <cdr:cNvPr id="2" name="ZoneTexte 1"/>
        <cdr:cNvSpPr txBox="1"/>
      </cdr:nvSpPr>
      <cdr:spPr>
        <a:xfrm xmlns:a="http://schemas.openxmlformats.org/drawingml/2006/main">
          <a:off x="437816" y="451274"/>
          <a:ext cx="762296" cy="3312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200">
              <a:solidFill>
                <a:schemeClr val="bg1">
                  <a:lumMod val="50000"/>
                </a:schemeClr>
              </a:solidFill>
              <a:latin typeface="Arial" pitchFamily="34" charset="0"/>
              <a:cs typeface="Arial" pitchFamily="34" charset="0"/>
              <a:sym typeface="Symbol"/>
            </a:rPr>
            <a:t> </a:t>
          </a:r>
          <a:r>
            <a:rPr lang="fr-FR" sz="1200">
              <a:solidFill>
                <a:schemeClr val="bg1">
                  <a:lumMod val="50000"/>
                </a:schemeClr>
              </a:solidFill>
              <a:latin typeface="Arial" pitchFamily="34" charset="0"/>
              <a:cs typeface="Arial" pitchFamily="34" charset="0"/>
            </a:rPr>
            <a:t>BIPT 2006</a:t>
          </a:r>
        </a:p>
      </cdr:txBody>
    </cdr:sp>
  </cdr:relSizeAnchor>
  <cdr:relSizeAnchor xmlns:cdr="http://schemas.openxmlformats.org/drawingml/2006/chartDrawing">
    <cdr:from>
      <cdr:x>0.08223</cdr:x>
      <cdr:y>0.02893</cdr:y>
    </cdr:from>
    <cdr:to>
      <cdr:x>0.28162</cdr:x>
      <cdr:y>0.1008</cdr:y>
    </cdr:to>
    <cdr:sp macro="" textlink="">
      <cdr:nvSpPr>
        <cdr:cNvPr id="3" name="ZoneTexte 1"/>
        <cdr:cNvSpPr txBox="1"/>
      </cdr:nvSpPr>
      <cdr:spPr>
        <a:xfrm xmlns:a="http://schemas.openxmlformats.org/drawingml/2006/main">
          <a:off x="525780" y="114300"/>
          <a:ext cx="1274988" cy="2840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200" b="1" baseline="0">
              <a:solidFill>
                <a:sysClr val="windowText" lastClr="000000"/>
              </a:solidFill>
              <a:latin typeface="Arial" pitchFamily="34" charset="0"/>
              <a:cs typeface="Arial" pitchFamily="34" charset="0"/>
            </a:rPr>
            <a:t>Mobile WACC</a:t>
          </a:r>
          <a:endParaRPr lang="fr-FR" sz="1200" b="1">
            <a:solidFill>
              <a:sysClr val="windowText" lastClr="000000"/>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527049</xdr:colOff>
      <xdr:row>179</xdr:row>
      <xdr:rowOff>41274</xdr:rowOff>
    </xdr:from>
    <xdr:to>
      <xdr:col>10</xdr:col>
      <xdr:colOff>592403</xdr:colOff>
      <xdr:row>204</xdr:row>
      <xdr:rowOff>107156</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636587</xdr:colOff>
      <xdr:row>231</xdr:row>
      <xdr:rowOff>35454</xdr:rowOff>
    </xdr:from>
    <xdr:to>
      <xdr:col>10</xdr:col>
      <xdr:colOff>202406</xdr:colOff>
      <xdr:row>257</xdr:row>
      <xdr:rowOff>95250</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658654</xdr:colOff>
      <xdr:row>262</xdr:row>
      <xdr:rowOff>79230</xdr:rowOff>
    </xdr:from>
    <xdr:to>
      <xdr:col>10</xdr:col>
      <xdr:colOff>252412</xdr:colOff>
      <xdr:row>274</xdr:row>
      <xdr:rowOff>100394</xdr:rowOff>
    </xdr:to>
    <xdr:graphicFrame macro="">
      <xdr:nvGraphicFramePr>
        <xdr:cNvPr id="11" name="Graphique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483552</xdr:colOff>
      <xdr:row>207</xdr:row>
      <xdr:rowOff>84511</xdr:rowOff>
    </xdr:from>
    <xdr:to>
      <xdr:col>10</xdr:col>
      <xdr:colOff>28576</xdr:colOff>
      <xdr:row>226</xdr:row>
      <xdr:rowOff>148963</xdr:rowOff>
    </xdr:to>
    <xdr:graphicFrame macro="">
      <xdr:nvGraphicFramePr>
        <xdr:cNvPr id="13" name="Graphique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3969</xdr:colOff>
      <xdr:row>127</xdr:row>
      <xdr:rowOff>42441</xdr:rowOff>
    </xdr:from>
    <xdr:to>
      <xdr:col>10</xdr:col>
      <xdr:colOff>464344</xdr:colOff>
      <xdr:row>153</xdr:row>
      <xdr:rowOff>17992</xdr:rowOff>
    </xdr:to>
    <xdr:grpSp>
      <xdr:nvGrpSpPr>
        <xdr:cNvPr id="14" name="Groupe 13"/>
        <xdr:cNvGrpSpPr/>
      </xdr:nvGrpSpPr>
      <xdr:grpSpPr>
        <a:xfrm>
          <a:off x="2374636" y="20330691"/>
          <a:ext cx="6831541" cy="4103051"/>
          <a:chOff x="2311400" y="11102051"/>
          <a:chExt cx="6909586" cy="4690534"/>
        </a:xfrm>
      </xdr:grpSpPr>
      <xdr:graphicFrame macro="">
        <xdr:nvGraphicFramePr>
          <xdr:cNvPr id="16" name="Graphique 15"/>
          <xdr:cNvGraphicFramePr/>
        </xdr:nvGraphicFramePr>
        <xdr:xfrm>
          <a:off x="2311400" y="11102051"/>
          <a:ext cx="6909586" cy="4690534"/>
        </xdr:xfrm>
        <a:graphic>
          <a:graphicData uri="http://schemas.openxmlformats.org/drawingml/2006/chart">
            <c:chart xmlns:c="http://schemas.openxmlformats.org/drawingml/2006/chart" xmlns:r="http://schemas.openxmlformats.org/officeDocument/2006/relationships" r:id="rId5"/>
          </a:graphicData>
        </a:graphic>
      </xdr:graphicFrame>
      <xdr:cxnSp macro="">
        <xdr:nvCxnSpPr>
          <xdr:cNvPr id="17" name="Connecteur droit avec flèche 16"/>
          <xdr:cNvCxnSpPr/>
        </xdr:nvCxnSpPr>
        <xdr:spPr>
          <a:xfrm flipV="1">
            <a:off x="7696490" y="13170801"/>
            <a:ext cx="0" cy="2204662"/>
          </a:xfrm>
          <a:prstGeom prst="straightConnector1">
            <a:avLst/>
          </a:prstGeom>
          <a:ln w="1270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8" name="Connecteur droit avec flèche 17"/>
          <xdr:cNvCxnSpPr/>
        </xdr:nvCxnSpPr>
        <xdr:spPr>
          <a:xfrm flipV="1">
            <a:off x="7394740" y="13310755"/>
            <a:ext cx="0" cy="2070153"/>
          </a:xfrm>
          <a:prstGeom prst="straightConnector1">
            <a:avLst/>
          </a:prstGeom>
          <a:ln w="1905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381000</xdr:colOff>
      <xdr:row>156</xdr:row>
      <xdr:rowOff>21166</xdr:rowOff>
    </xdr:from>
    <xdr:to>
      <xdr:col>10</xdr:col>
      <xdr:colOff>349250</xdr:colOff>
      <xdr:row>174</xdr:row>
      <xdr:rowOff>56885</xdr:rowOff>
    </xdr:to>
    <xdr:graphicFrame macro="">
      <xdr:nvGraphicFramePr>
        <xdr:cNvPr id="15" name="Graphique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114300</xdr:colOff>
      <xdr:row>126</xdr:row>
      <xdr:rowOff>123825</xdr:rowOff>
    </xdr:from>
    <xdr:to>
      <xdr:col>26</xdr:col>
      <xdr:colOff>346075</xdr:colOff>
      <xdr:row>152</xdr:row>
      <xdr:rowOff>99376</xdr:rowOff>
    </xdr:to>
    <xdr:grpSp>
      <xdr:nvGrpSpPr>
        <xdr:cNvPr id="26" name="Groupe 25"/>
        <xdr:cNvGrpSpPr/>
      </xdr:nvGrpSpPr>
      <xdr:grpSpPr>
        <a:xfrm>
          <a:off x="9745133" y="20253325"/>
          <a:ext cx="6772275" cy="4103051"/>
          <a:chOff x="2311400" y="11102051"/>
          <a:chExt cx="6909586" cy="4690534"/>
        </a:xfrm>
      </xdr:grpSpPr>
      <xdr:graphicFrame macro="">
        <xdr:nvGraphicFramePr>
          <xdr:cNvPr id="27" name="Graphique 26"/>
          <xdr:cNvGraphicFramePr/>
        </xdr:nvGraphicFramePr>
        <xdr:xfrm>
          <a:off x="2311400" y="11102051"/>
          <a:ext cx="6909586" cy="4690534"/>
        </xdr:xfrm>
        <a:graphic>
          <a:graphicData uri="http://schemas.openxmlformats.org/drawingml/2006/chart">
            <c:chart xmlns:c="http://schemas.openxmlformats.org/drawingml/2006/chart" xmlns:r="http://schemas.openxmlformats.org/officeDocument/2006/relationships" r:id="rId7"/>
          </a:graphicData>
        </a:graphic>
      </xdr:graphicFrame>
      <xdr:cxnSp macro="">
        <xdr:nvCxnSpPr>
          <xdr:cNvPr id="28" name="Connecteur droit avec flèche 27"/>
          <xdr:cNvCxnSpPr/>
        </xdr:nvCxnSpPr>
        <xdr:spPr>
          <a:xfrm flipV="1">
            <a:off x="7696490" y="13170801"/>
            <a:ext cx="0" cy="2204662"/>
          </a:xfrm>
          <a:prstGeom prst="straightConnector1">
            <a:avLst/>
          </a:prstGeom>
          <a:ln w="1270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29" name="Connecteur droit avec flèche 28"/>
          <xdr:cNvCxnSpPr/>
        </xdr:nvCxnSpPr>
        <xdr:spPr>
          <a:xfrm flipV="1">
            <a:off x="7394740" y="13310755"/>
            <a:ext cx="0" cy="2070153"/>
          </a:xfrm>
          <a:prstGeom prst="straightConnector1">
            <a:avLst/>
          </a:prstGeom>
          <a:ln w="19050">
            <a:solidFill>
              <a:srgbClr val="FFC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66675</xdr:colOff>
      <xdr:row>178</xdr:row>
      <xdr:rowOff>152400</xdr:rowOff>
    </xdr:from>
    <xdr:to>
      <xdr:col>27</xdr:col>
      <xdr:colOff>351104</xdr:colOff>
      <xdr:row>204</xdr:row>
      <xdr:rowOff>56357</xdr:rowOff>
    </xdr:to>
    <xdr:graphicFrame macro="">
      <xdr:nvGraphicFramePr>
        <xdr:cNvPr id="30" name="Graphique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209550</xdr:colOff>
      <xdr:row>230</xdr:row>
      <xdr:rowOff>95250</xdr:rowOff>
    </xdr:from>
    <xdr:to>
      <xdr:col>25</xdr:col>
      <xdr:colOff>23019</xdr:colOff>
      <xdr:row>256</xdr:row>
      <xdr:rowOff>155046</xdr:rowOff>
    </xdr:to>
    <xdr:graphicFrame macro="">
      <xdr:nvGraphicFramePr>
        <xdr:cNvPr id="20" name="Graphique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277812</xdr:colOff>
      <xdr:row>262</xdr:row>
      <xdr:rowOff>7938</xdr:rowOff>
    </xdr:from>
    <xdr:to>
      <xdr:col>25</xdr:col>
      <xdr:colOff>141445</xdr:colOff>
      <xdr:row>274</xdr:row>
      <xdr:rowOff>29102</xdr:rowOff>
    </xdr:to>
    <xdr:graphicFrame macro="">
      <xdr:nvGraphicFramePr>
        <xdr:cNvPr id="21" name="Graphique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ilisateur/AppData/Roaming/Microsoft/Excel/2013%20BIPT%201.%20Rf,%20Cd,%20ERP,%20CRP%202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 SUMMARY"/>
      <sheetName val="ERP ANALYSIS"/>
      <sheetName val="Rf, CRP &amp; Cd ANALYSIS"/>
      <sheetName val="Calculation Rf &amp; Cd"/>
      <sheetName val="Implied ERP Data"/>
      <sheetName val="Bloom Volatilities Live"/>
      <sheetName val="(Bloom Yields Live)"/>
    </sheetNames>
    <sheetDataSet>
      <sheetData sheetId="0" refreshError="1"/>
      <sheetData sheetId="1" refreshError="1"/>
      <sheetData sheetId="2" refreshError="1"/>
      <sheetData sheetId="3" refreshError="1">
        <row r="1">
          <cell r="AH1" t="str">
            <v>A</v>
          </cell>
          <cell r="AO1" t="str">
            <v>BBB+</v>
          </cell>
          <cell r="AV1" t="str">
            <v>BBB</v>
          </cell>
          <cell r="BC1" t="str">
            <v>BBB-</v>
          </cell>
          <cell r="BJ1" t="str">
            <v>BB</v>
          </cell>
        </row>
      </sheetData>
      <sheetData sheetId="4" refreshError="1"/>
      <sheetData sheetId="5" refreshError="1"/>
      <sheetData sheetId="6"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0.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hyperlink" Target="http://www.rtr.at/en/tk/KORE_20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B1:W42"/>
  <sheetViews>
    <sheetView showGridLines="0" tabSelected="1" topLeftCell="C1" zoomScaleNormal="100" workbookViewId="0">
      <pane ySplit="3" topLeftCell="A4" activePane="bottomLeft" state="frozen"/>
      <selection activeCell="D1" sqref="D1"/>
      <selection pane="bottomLeft" activeCell="E18" sqref="E18"/>
    </sheetView>
  </sheetViews>
  <sheetFormatPr defaultColWidth="11.5703125" defaultRowHeight="12.75"/>
  <cols>
    <col min="1" max="1" width="0.7109375" style="231" customWidth="1"/>
    <col min="2" max="2" width="3.28515625" style="231" customWidth="1"/>
    <col min="3" max="3" width="9.5703125" style="231" customWidth="1"/>
    <col min="4" max="4" width="17.140625" style="231" customWidth="1"/>
    <col min="5" max="5" width="3.42578125" style="231" customWidth="1"/>
    <col min="6" max="6" width="19.7109375" style="257" customWidth="1"/>
    <col min="7" max="8" width="8.85546875" style="257" customWidth="1"/>
    <col min="9" max="9" width="9.28515625" style="257" customWidth="1"/>
    <col min="10" max="10" width="8.85546875" style="257" customWidth="1"/>
    <col min="11" max="11" width="9.7109375" style="257" customWidth="1"/>
    <col min="12" max="15" width="8.85546875" style="257" customWidth="1"/>
    <col min="16" max="16" width="5.5703125" style="257" customWidth="1"/>
    <col min="17" max="17" width="1.140625" style="257" customWidth="1"/>
    <col min="18" max="18" width="7.7109375" style="927" customWidth="1"/>
    <col min="19" max="19" width="7" style="927" customWidth="1"/>
    <col min="20" max="20" width="8.140625" style="1213" customWidth="1"/>
    <col min="21" max="22" width="7.7109375" style="1213" customWidth="1"/>
    <col min="23" max="23" width="8.28515625" style="1213" customWidth="1"/>
    <col min="24" max="16384" width="11.5703125" style="231"/>
  </cols>
  <sheetData>
    <row r="1" spans="2:23" ht="3" customHeight="1"/>
    <row r="2" spans="2:23" ht="5.45" customHeight="1">
      <c r="B2" s="233"/>
      <c r="C2" s="233"/>
      <c r="D2" s="233"/>
      <c r="E2" s="233"/>
      <c r="F2" s="258"/>
      <c r="G2" s="258"/>
      <c r="H2" s="258"/>
      <c r="I2" s="258"/>
      <c r="J2" s="258"/>
      <c r="K2" s="258"/>
      <c r="L2" s="258"/>
      <c r="M2" s="258"/>
      <c r="N2" s="258"/>
      <c r="O2" s="258"/>
      <c r="P2" s="258"/>
      <c r="R2" s="928"/>
      <c r="S2" s="928"/>
      <c r="T2" s="1214"/>
      <c r="U2" s="1214"/>
      <c r="V2" s="1214"/>
      <c r="W2" s="1214"/>
    </row>
    <row r="3" spans="2:23">
      <c r="B3" s="233"/>
      <c r="C3" s="488" t="s">
        <v>398</v>
      </c>
      <c r="D3" s="488"/>
      <c r="E3" s="489"/>
      <c r="F3" s="493" t="s">
        <v>341</v>
      </c>
      <c r="G3" s="353"/>
      <c r="H3" s="234"/>
      <c r="I3" s="234"/>
      <c r="J3" s="234"/>
      <c r="K3" s="234"/>
      <c r="L3" s="234"/>
      <c r="M3" s="234"/>
      <c r="N3" s="234"/>
      <c r="O3" s="234"/>
      <c r="P3" s="234"/>
      <c r="R3" s="578" t="s">
        <v>498</v>
      </c>
      <c r="S3" s="577"/>
      <c r="T3" s="577"/>
      <c r="U3" s="1215"/>
      <c r="V3" s="1215"/>
      <c r="W3" s="1215"/>
    </row>
    <row r="4" spans="2:23">
      <c r="B4" s="233"/>
      <c r="C4" s="232"/>
      <c r="D4" s="232"/>
      <c r="E4" s="232"/>
      <c r="F4" s="234"/>
      <c r="G4" s="234"/>
      <c r="H4" s="234"/>
      <c r="I4" s="234"/>
      <c r="J4" s="234"/>
      <c r="K4" s="234"/>
      <c r="L4" s="234"/>
      <c r="M4" s="234"/>
      <c r="N4" s="234"/>
      <c r="O4" s="234"/>
      <c r="P4" s="234"/>
      <c r="R4" s="928"/>
      <c r="S4" s="928"/>
      <c r="T4" s="1214"/>
      <c r="U4" s="1214"/>
      <c r="V4" s="1214"/>
      <c r="W4" s="1390"/>
    </row>
    <row r="5" spans="2:23">
      <c r="B5" s="233"/>
      <c r="C5" s="1782" t="s">
        <v>422</v>
      </c>
      <c r="D5" s="1782"/>
      <c r="E5" s="232"/>
      <c r="F5" s="1042" t="s">
        <v>423</v>
      </c>
      <c r="G5" s="234"/>
      <c r="H5" s="234"/>
      <c r="I5" s="234"/>
      <c r="J5" s="234"/>
      <c r="K5" s="234"/>
      <c r="L5" s="234"/>
      <c r="M5" s="234"/>
      <c r="N5" s="234"/>
      <c r="O5" s="259"/>
      <c r="P5" s="234"/>
      <c r="R5" s="1778" t="s">
        <v>490</v>
      </c>
      <c r="S5" s="1778"/>
      <c r="T5" s="1778"/>
      <c r="U5" s="1215"/>
      <c r="V5" s="1215"/>
      <c r="W5" s="1215"/>
    </row>
    <row r="6" spans="2:23">
      <c r="B6" s="233"/>
      <c r="C6" s="259"/>
      <c r="D6" s="233"/>
      <c r="E6" s="232"/>
      <c r="F6" s="925" t="s">
        <v>335</v>
      </c>
      <c r="G6" s="234"/>
      <c r="H6" s="234"/>
      <c r="I6" s="234"/>
      <c r="J6" s="234"/>
      <c r="K6" s="234"/>
      <c r="L6" s="234"/>
      <c r="M6" s="234"/>
      <c r="N6" s="234"/>
      <c r="O6" s="259"/>
      <c r="P6" s="234"/>
      <c r="R6" s="929"/>
      <c r="S6" s="929"/>
      <c r="T6" s="1215"/>
      <c r="U6" s="1215"/>
      <c r="V6" s="1215"/>
      <c r="W6" s="1215"/>
    </row>
    <row r="7" spans="2:23" ht="17.45" customHeight="1">
      <c r="B7" s="233"/>
      <c r="C7" s="233"/>
      <c r="D7" s="233"/>
      <c r="E7" s="233"/>
      <c r="F7" s="754" t="s">
        <v>478</v>
      </c>
      <c r="G7" s="234" t="s">
        <v>168</v>
      </c>
      <c r="H7" s="234" t="s">
        <v>76</v>
      </c>
      <c r="I7" s="234" t="s">
        <v>480</v>
      </c>
      <c r="J7" s="234"/>
      <c r="K7" s="259" t="s">
        <v>3</v>
      </c>
      <c r="L7" s="259" t="s">
        <v>2</v>
      </c>
      <c r="M7" s="259" t="s">
        <v>137</v>
      </c>
      <c r="N7" s="258"/>
      <c r="O7" s="234" t="s">
        <v>479</v>
      </c>
      <c r="P7" s="259"/>
      <c r="R7" s="1212" t="s">
        <v>281</v>
      </c>
      <c r="S7" s="929"/>
      <c r="T7" s="577" t="s">
        <v>168</v>
      </c>
      <c r="U7" s="577" t="s">
        <v>76</v>
      </c>
      <c r="V7" s="577" t="s">
        <v>491</v>
      </c>
      <c r="W7" s="577" t="s">
        <v>479</v>
      </c>
    </row>
    <row r="8" spans="2:23">
      <c r="B8" s="233"/>
      <c r="C8" s="1204" t="s">
        <v>419</v>
      </c>
      <c r="D8" s="916"/>
      <c r="E8" s="232"/>
      <c r="F8" s="755">
        <v>2014</v>
      </c>
      <c r="G8" s="919">
        <f>'FINAL BIPT &amp; Cullen 2014'!J38</f>
        <v>8.1349159833066037E-2</v>
      </c>
      <c r="H8" s="919">
        <f>'FINAL BIPT &amp; Cullen 2014'!P38</f>
        <v>8.1314444978701092E-2</v>
      </c>
      <c r="I8" s="920">
        <f>'FINAL BIPT &amp; Cullen 2014'!P39</f>
        <v>-3.4714854364945036E-5</v>
      </c>
      <c r="J8" s="318"/>
      <c r="K8" s="322">
        <f>'FINAL BIPT &amp; Cullen 2014'!D38</f>
        <v>7.3676137581927356E-2</v>
      </c>
      <c r="L8" s="1200" t="s">
        <v>477</v>
      </c>
      <c r="M8" s="322">
        <f>'FINAL BIPT &amp; Cullen 2014'!G38</f>
        <v>9.3705382510904933E-2</v>
      </c>
      <c r="N8" s="258"/>
      <c r="O8" s="920">
        <f>AVERAGE(G8:H8)</f>
        <v>8.1331802405883558E-2</v>
      </c>
      <c r="P8" s="261"/>
      <c r="R8" s="1217" t="s">
        <v>577</v>
      </c>
      <c r="S8" s="1219"/>
      <c r="T8" s="1220">
        <f>'Vs. Consultation Version '!J38</f>
        <v>7.5371399203567876E-2</v>
      </c>
      <c r="U8" s="1220">
        <f>'Vs. Consultation Version '!P38</f>
        <v>8.6303071530882375E-2</v>
      </c>
      <c r="V8" s="1220">
        <f>'Vs. Consultation Version '!P39</f>
        <v>1.0931672327314498E-2</v>
      </c>
      <c r="W8" s="1220">
        <f>AVERAGE(T8:U8)</f>
        <v>8.0837235367225119E-2</v>
      </c>
    </row>
    <row r="9" spans="2:23">
      <c r="B9" s="233"/>
      <c r="C9" s="1207"/>
      <c r="D9" s="233"/>
      <c r="E9" s="232"/>
      <c r="F9" s="1205"/>
      <c r="G9" s="1208"/>
      <c r="H9" s="1208"/>
      <c r="I9" s="318"/>
      <c r="J9" s="318"/>
      <c r="K9" s="915"/>
      <c r="L9" s="1206"/>
      <c r="M9" s="915"/>
      <c r="N9" s="258"/>
      <c r="O9" s="318"/>
      <c r="P9" s="261"/>
      <c r="R9" s="1223" t="s">
        <v>578</v>
      </c>
      <c r="S9" s="1224"/>
      <c r="T9" s="1225">
        <f>G8-T8</f>
        <v>5.9777606294981606E-3</v>
      </c>
      <c r="U9" s="1225">
        <f>H8-U8</f>
        <v>-4.9886265521812828E-3</v>
      </c>
      <c r="V9" s="1225">
        <f>I8-V8</f>
        <v>-1.0966387181679443E-2</v>
      </c>
      <c r="W9" s="1225">
        <f>O8-W8</f>
        <v>4.9456703865843887E-4</v>
      </c>
    </row>
    <row r="10" spans="2:23">
      <c r="B10" s="233"/>
      <c r="C10" s="1204" t="s">
        <v>488</v>
      </c>
      <c r="D10" s="916"/>
      <c r="E10" s="260"/>
      <c r="F10" s="1683">
        <v>2010</v>
      </c>
      <c r="G10" s="1684">
        <f>'FINAL BIPT &amp; Cullen 2014'!V38</f>
        <v>9.6121785799172826E-2</v>
      </c>
      <c r="H10" s="1684">
        <f>'FINAL BIPT &amp; Cullen 2014'!Y38</f>
        <v>0.1004917173404925</v>
      </c>
      <c r="I10" s="1684">
        <f>H10-G10</f>
        <v>4.3699315413196771E-3</v>
      </c>
      <c r="J10" s="1472"/>
      <c r="K10" s="1685">
        <f>'FINAL BIPT &amp; Cullen 2014'!U38</f>
        <v>9.6986465051010232E-2</v>
      </c>
      <c r="L10" s="1685">
        <f>'FINAL BIPT &amp; Cullen 2014'!X38</f>
        <v>0.10128705138078943</v>
      </c>
      <c r="M10" s="1686"/>
      <c r="N10" s="1687"/>
      <c r="O10" s="1684">
        <f>AVERAGE(G10:H10)</f>
        <v>9.8306751569832665E-2</v>
      </c>
      <c r="P10" s="258"/>
      <c r="R10" s="929"/>
      <c r="S10" s="929"/>
      <c r="T10" s="1215"/>
      <c r="U10" s="1215"/>
      <c r="V10" s="1215"/>
      <c r="W10" s="1215"/>
    </row>
    <row r="11" spans="2:23">
      <c r="B11" s="233"/>
      <c r="C11" s="1132"/>
      <c r="D11" s="233"/>
      <c r="E11" s="233"/>
      <c r="F11" s="757" t="s">
        <v>483</v>
      </c>
      <c r="G11" s="1201">
        <f>G8-G10</f>
        <v>-1.4772625966106789E-2</v>
      </c>
      <c r="H11" s="1201">
        <f>H8-H10</f>
        <v>-1.9177272361791411E-2</v>
      </c>
      <c r="I11" s="491">
        <f>I8-I10</f>
        <v>-4.4046463956846221E-3</v>
      </c>
      <c r="J11" s="478" t="s">
        <v>253</v>
      </c>
      <c r="K11" s="490">
        <f>K8-K10</f>
        <v>-2.3310327469082875E-2</v>
      </c>
      <c r="L11" s="490">
        <f>H8-L10</f>
        <v>-1.9972606402088339E-2</v>
      </c>
      <c r="M11" s="258"/>
      <c r="N11" s="317"/>
      <c r="O11" s="1201">
        <f>O8-O10</f>
        <v>-1.6974949163949107E-2</v>
      </c>
      <c r="P11" s="258"/>
      <c r="R11" s="929" t="s">
        <v>500</v>
      </c>
      <c r="S11" s="929"/>
      <c r="T11" s="1215"/>
      <c r="U11" s="1215"/>
      <c r="V11" s="1215"/>
      <c r="W11" s="1215"/>
    </row>
    <row r="12" spans="2:23" ht="17.45" customHeight="1">
      <c r="B12" s="233"/>
      <c r="C12" s="233"/>
      <c r="D12" s="233"/>
      <c r="E12" s="233"/>
      <c r="F12" s="1777" t="s">
        <v>595</v>
      </c>
      <c r="G12" s="1783"/>
      <c r="H12" s="1783"/>
      <c r="I12" s="1783"/>
      <c r="J12" s="1783"/>
      <c r="K12" s="1783"/>
      <c r="L12" s="1783"/>
      <c r="M12" s="1783"/>
      <c r="N12" s="1783"/>
      <c r="O12" s="1783"/>
      <c r="P12" s="908"/>
      <c r="R12" s="1212" t="s">
        <v>501</v>
      </c>
      <c r="S12" s="929"/>
      <c r="T12" s="1215" t="s">
        <v>168</v>
      </c>
      <c r="U12" s="1215" t="s">
        <v>76</v>
      </c>
      <c r="V12" s="1215"/>
      <c r="W12" s="1215"/>
    </row>
    <row r="13" spans="2:23">
      <c r="B13" s="233"/>
      <c r="C13" s="233"/>
      <c r="D13" s="233"/>
      <c r="E13" s="233"/>
      <c r="F13" s="1783"/>
      <c r="G13" s="1783"/>
      <c r="H13" s="1783"/>
      <c r="I13" s="1783"/>
      <c r="J13" s="1783"/>
      <c r="K13" s="1783"/>
      <c r="L13" s="1783"/>
      <c r="M13" s="1783"/>
      <c r="N13" s="1783"/>
      <c r="O13" s="1783"/>
      <c r="P13" s="417"/>
      <c r="R13" s="1217" t="s">
        <v>580</v>
      </c>
      <c r="S13" s="1219"/>
      <c r="T13" s="1226">
        <f>'FINAL BIPT &amp; Cullen 2014'!J11</f>
        <v>0.42</v>
      </c>
      <c r="U13" s="1226">
        <f>'FINAL BIPT &amp; Cullen 2014'!P11</f>
        <v>0.42</v>
      </c>
      <c r="V13" s="1215"/>
      <c r="W13" s="1357"/>
    </row>
    <row r="14" spans="2:23" ht="12.75" customHeight="1">
      <c r="B14" s="233"/>
      <c r="C14" s="233"/>
      <c r="D14" s="233"/>
      <c r="E14" s="233"/>
      <c r="F14" s="1777" t="s">
        <v>627</v>
      </c>
      <c r="G14" s="1777"/>
      <c r="H14" s="1777"/>
      <c r="I14" s="1777"/>
      <c r="J14" s="1777"/>
      <c r="K14" s="1777"/>
      <c r="L14" s="1777"/>
      <c r="M14" s="1777"/>
      <c r="N14" s="1777"/>
      <c r="O14" s="1777"/>
      <c r="P14" s="417"/>
      <c r="R14" s="1216" t="s">
        <v>579</v>
      </c>
      <c r="S14" s="1221"/>
      <c r="T14" s="1227">
        <f>'Vs. Consultation Version '!AB11</f>
        <v>-5.2933094166032313E-2</v>
      </c>
      <c r="U14" s="1227">
        <f>'Vs. Consultation Version '!AC11</f>
        <v>0.14499999999999996</v>
      </c>
      <c r="V14" s="1705"/>
      <c r="W14" s="1705"/>
    </row>
    <row r="15" spans="2:23">
      <c r="B15" s="233"/>
      <c r="C15" s="233"/>
      <c r="D15" s="233"/>
      <c r="E15" s="233"/>
      <c r="F15" s="1777"/>
      <c r="G15" s="1777"/>
      <c r="H15" s="1777"/>
      <c r="I15" s="1777"/>
      <c r="J15" s="1777"/>
      <c r="K15" s="1777"/>
      <c r="L15" s="1777"/>
      <c r="M15" s="1777"/>
      <c r="N15" s="1777"/>
      <c r="O15" s="1777"/>
      <c r="P15" s="417"/>
      <c r="R15" s="1779" t="s">
        <v>593</v>
      </c>
      <c r="S15" s="1779"/>
      <c r="T15" s="1779"/>
      <c r="U15" s="1779"/>
      <c r="V15" s="1779"/>
      <c r="W15" s="1779"/>
    </row>
    <row r="16" spans="2:23" ht="12.75" customHeight="1">
      <c r="B16" s="233"/>
      <c r="C16" s="233"/>
      <c r="D16" s="233"/>
      <c r="E16" s="233"/>
      <c r="F16" s="260" t="s">
        <v>594</v>
      </c>
      <c r="G16" s="926"/>
      <c r="H16" s="926"/>
      <c r="I16" s="926"/>
      <c r="J16" s="926"/>
      <c r="K16" s="926"/>
      <c r="L16" s="926"/>
      <c r="M16" s="926"/>
      <c r="N16" s="926"/>
      <c r="O16" s="926"/>
      <c r="P16" s="417"/>
      <c r="R16" s="1779"/>
      <c r="S16" s="1779"/>
      <c r="T16" s="1779"/>
      <c r="U16" s="1779"/>
      <c r="V16" s="1779"/>
      <c r="W16" s="1779"/>
    </row>
    <row r="17" spans="2:23" ht="17.25" customHeight="1">
      <c r="B17" s="233"/>
      <c r="C17" s="233"/>
      <c r="D17" s="233"/>
      <c r="E17" s="233"/>
      <c r="F17" s="1784" t="s">
        <v>628</v>
      </c>
      <c r="G17" s="1784"/>
      <c r="H17" s="1784"/>
      <c r="I17" s="1784"/>
      <c r="J17" s="1784"/>
      <c r="K17" s="1784"/>
      <c r="L17" s="1784"/>
      <c r="M17" s="1784"/>
      <c r="N17" s="1784"/>
      <c r="O17" s="1784"/>
      <c r="P17" s="417"/>
      <c r="R17" s="1779"/>
      <c r="S17" s="1779"/>
      <c r="T17" s="1779"/>
      <c r="U17" s="1779"/>
      <c r="V17" s="1779"/>
      <c r="W17" s="1779"/>
    </row>
    <row r="18" spans="2:23">
      <c r="B18" s="233"/>
      <c r="C18" s="233"/>
      <c r="D18" s="233"/>
      <c r="E18" s="233"/>
      <c r="F18" s="1784"/>
      <c r="G18" s="1784"/>
      <c r="H18" s="1784"/>
      <c r="I18" s="1784"/>
      <c r="J18" s="1784"/>
      <c r="K18" s="1784"/>
      <c r="L18" s="1784"/>
      <c r="M18" s="1784"/>
      <c r="N18" s="1784"/>
      <c r="O18" s="1784"/>
      <c r="P18" s="417"/>
      <c r="R18" s="1779"/>
      <c r="S18" s="1779"/>
      <c r="T18" s="1779"/>
      <c r="U18" s="1779"/>
      <c r="V18" s="1779"/>
      <c r="W18" s="1779"/>
    </row>
    <row r="19" spans="2:23" ht="6" customHeight="1">
      <c r="B19" s="233"/>
      <c r="C19" s="233"/>
      <c r="D19" s="233"/>
      <c r="E19" s="233"/>
      <c r="F19" s="926"/>
      <c r="G19" s="926"/>
      <c r="H19" s="926"/>
      <c r="I19" s="926"/>
      <c r="J19" s="926"/>
      <c r="K19" s="926"/>
      <c r="L19" s="926"/>
      <c r="M19" s="926"/>
      <c r="N19" s="926"/>
      <c r="O19" s="926"/>
      <c r="P19" s="417"/>
      <c r="R19" s="929"/>
      <c r="S19" s="929"/>
      <c r="T19" s="929"/>
      <c r="U19" s="929"/>
      <c r="V19" s="929"/>
      <c r="W19" s="929"/>
    </row>
    <row r="20" spans="2:23" ht="12.75" customHeight="1">
      <c r="B20" s="233"/>
      <c r="C20" s="233"/>
      <c r="D20" s="233"/>
      <c r="E20" s="233"/>
      <c r="F20" s="1627" t="s">
        <v>581</v>
      </c>
      <c r="G20" s="1682">
        <f>'(Cullen 2010 Fixed)'!B9-'(Cullen 2010 Fixed)'!B18</f>
        <v>-1.5899999999999997E-2</v>
      </c>
      <c r="H20" s="1682">
        <f>'(Cullen 2010 Mobile)'!B6-'(Cullen 2010 Mobile)'!B11</f>
        <v>-2.1899999999999989E-2</v>
      </c>
      <c r="I20" s="1648">
        <f>I10-('(Cullen 2010 Mobile)'!B11-'(Cullen 2010 Fixed)'!B18)</f>
        <v>-6.0300684586803155E-3</v>
      </c>
      <c r="J20" s="478" t="s">
        <v>253</v>
      </c>
      <c r="K20" s="1202"/>
      <c r="L20" s="1202"/>
      <c r="M20" s="258"/>
      <c r="N20" s="317"/>
      <c r="O20" s="1682">
        <f>AVERAGE(G20:H20)</f>
        <v>-1.8899999999999993E-2</v>
      </c>
      <c r="P20" s="417"/>
      <c r="R20" s="1677" t="s">
        <v>187</v>
      </c>
      <c r="S20" s="1678"/>
      <c r="T20" s="1679" t="s">
        <v>168</v>
      </c>
      <c r="U20" s="1679" t="s">
        <v>76</v>
      </c>
      <c r="V20" s="1215"/>
      <c r="W20" s="1681"/>
    </row>
    <row r="21" spans="2:23" ht="12.75" customHeight="1">
      <c r="B21" s="233"/>
      <c r="C21" s="233"/>
      <c r="D21" s="233"/>
      <c r="E21" s="233"/>
      <c r="F21" s="259"/>
      <c r="G21" s="926"/>
      <c r="H21" s="926"/>
      <c r="I21" s="926"/>
      <c r="J21" s="926"/>
      <c r="K21" s="926"/>
      <c r="L21" s="926"/>
      <c r="M21" s="926"/>
      <c r="N21" s="926"/>
      <c r="O21" s="926"/>
      <c r="P21" s="417"/>
      <c r="R21" s="929" t="s">
        <v>580</v>
      </c>
      <c r="S21" s="929"/>
      <c r="T21" s="1676" t="str">
        <f>'FINAL BIPT &amp; Cullen 2014'!J14</f>
        <v>BBB</v>
      </c>
      <c r="U21" s="1676" t="str">
        <f>'FINAL BIPT &amp; Cullen 2014'!P14</f>
        <v>BBB-</v>
      </c>
      <c r="V21" s="1215"/>
      <c r="W21" s="1681"/>
    </row>
    <row r="22" spans="2:23" ht="12.75" customHeight="1">
      <c r="B22" s="233"/>
      <c r="C22" s="918" t="s">
        <v>489</v>
      </c>
      <c r="D22" s="917"/>
      <c r="E22" s="233"/>
      <c r="F22" s="1209" t="s">
        <v>482</v>
      </c>
      <c r="G22" s="926"/>
      <c r="H22" s="926"/>
      <c r="I22" s="926"/>
      <c r="J22" s="926"/>
      <c r="K22" s="926"/>
      <c r="L22" s="926"/>
      <c r="M22" s="926"/>
      <c r="N22" s="926"/>
      <c r="O22" s="926"/>
      <c r="P22" s="417"/>
      <c r="R22" s="1216" t="s">
        <v>579</v>
      </c>
      <c r="S22" s="1221"/>
      <c r="T22" s="1680" t="str">
        <f>'Vs. Consultation Version '!AB14</f>
        <v>0 notch</v>
      </c>
      <c r="U22" s="1227" t="str">
        <f>'Vs. Consultation Version '!AC14</f>
        <v>-1 notch</v>
      </c>
      <c r="V22" s="1215"/>
      <c r="W22" s="1681"/>
    </row>
    <row r="23" spans="2:23" ht="17.25" customHeight="1">
      <c r="B23" s="233"/>
      <c r="C23" s="233"/>
      <c r="D23" s="233"/>
      <c r="E23" s="233"/>
      <c r="F23" s="756" t="s">
        <v>484</v>
      </c>
      <c r="G23" s="259" t="s">
        <v>168</v>
      </c>
      <c r="H23" s="259" t="s">
        <v>76</v>
      </c>
      <c r="I23" s="259" t="s">
        <v>397</v>
      </c>
      <c r="J23" s="378"/>
      <c r="K23" s="379"/>
      <c r="L23" s="380"/>
      <c r="M23" s="380"/>
      <c r="N23" s="380"/>
      <c r="O23" s="380"/>
      <c r="P23" s="258"/>
      <c r="R23" s="1779" t="s">
        <v>605</v>
      </c>
      <c r="S23" s="1779"/>
      <c r="T23" s="1779"/>
      <c r="U23" s="1779"/>
      <c r="V23" s="1779"/>
      <c r="W23" s="1779"/>
    </row>
    <row r="24" spans="2:23" ht="12.75" customHeight="1">
      <c r="B24" s="233"/>
      <c r="C24" s="233"/>
      <c r="D24" s="233"/>
      <c r="E24" s="232"/>
      <c r="F24" s="1688">
        <v>2014</v>
      </c>
      <c r="G24" s="1240">
        <f>'FINAL BIPT &amp; Cullen 2014'!AZ1</f>
        <v>8.7201361612448305E-2</v>
      </c>
      <c r="H24" s="1689">
        <f>'FINAL BIPT &amp; Cullen 2014'!BP1</f>
        <v>9.3812781156032823E-2</v>
      </c>
      <c r="I24" s="1690">
        <f>'FINAL BIPT &amp; Cullen 2014'!CF1</f>
        <v>3.6953726204967639E-3</v>
      </c>
      <c r="J24" s="381"/>
      <c r="K24" s="382"/>
      <c r="L24" s="382"/>
      <c r="M24" s="383"/>
      <c r="N24" s="383"/>
      <c r="O24" s="383"/>
      <c r="P24" s="233"/>
      <c r="R24" s="1779"/>
      <c r="S24" s="1779"/>
      <c r="T24" s="1779"/>
      <c r="U24" s="1779"/>
      <c r="V24" s="1779"/>
      <c r="W24" s="1779"/>
    </row>
    <row r="25" spans="2:23" ht="12.75" customHeight="1">
      <c r="B25" s="233"/>
      <c r="C25" s="232"/>
      <c r="D25" s="260"/>
      <c r="E25" s="232"/>
      <c r="F25" s="1691">
        <v>2010</v>
      </c>
      <c r="G25" s="1692">
        <f>'(Cullen 2010 Fixed)'!M21</f>
        <v>0.10141562500000001</v>
      </c>
      <c r="H25" s="1692">
        <f>'(Cullen 2010 Mobile)'!$K$18</f>
        <v>0.12015694444444443</v>
      </c>
      <c r="I25" s="1693">
        <f>'(Cullen 2010 Mobile)'!R27</f>
        <v>2.0011111111111105E-2</v>
      </c>
      <c r="J25" s="381"/>
      <c r="K25" s="382"/>
      <c r="L25" s="382"/>
      <c r="M25" s="383"/>
      <c r="N25" s="383"/>
      <c r="O25" s="383"/>
      <c r="P25" s="233"/>
      <c r="R25" s="929"/>
      <c r="S25" s="929"/>
      <c r="T25" s="1215"/>
      <c r="U25" s="1215"/>
      <c r="V25" s="1215"/>
      <c r="W25" s="1215"/>
    </row>
    <row r="26" spans="2:23">
      <c r="B26" s="233"/>
      <c r="C26" s="233"/>
      <c r="D26" s="233"/>
      <c r="E26" s="232"/>
      <c r="F26" s="1694" t="s">
        <v>483</v>
      </c>
      <c r="G26" s="1404">
        <f>G24-G25</f>
        <v>-1.4214263387551704E-2</v>
      </c>
      <c r="H26" s="1404">
        <f>H24-H25</f>
        <v>-2.6344163288411604E-2</v>
      </c>
      <c r="I26" s="1241">
        <f>I24-I25</f>
        <v>-1.6315738490614341E-2</v>
      </c>
      <c r="J26" s="384"/>
      <c r="K26" s="385"/>
      <c r="L26" s="385"/>
      <c r="M26" s="385"/>
      <c r="N26" s="385"/>
      <c r="O26" s="385"/>
      <c r="P26" s="233"/>
      <c r="R26" s="1212" t="s">
        <v>492</v>
      </c>
      <c r="S26" s="929"/>
      <c r="T26" s="1215" t="s">
        <v>168</v>
      </c>
      <c r="U26" s="1215" t="s">
        <v>76</v>
      </c>
      <c r="V26" s="1215"/>
      <c r="W26" s="1215"/>
    </row>
    <row r="27" spans="2:23" ht="15.75" customHeight="1">
      <c r="B27" s="233"/>
      <c r="C27" s="233"/>
      <c r="D27" s="233"/>
      <c r="E27" s="232"/>
      <c r="F27" s="1780" t="s">
        <v>493</v>
      </c>
      <c r="G27" s="1780"/>
      <c r="H27" s="1780"/>
      <c r="I27" s="1780"/>
      <c r="J27" s="384"/>
      <c r="K27" s="385"/>
      <c r="L27" s="385"/>
      <c r="M27" s="385"/>
      <c r="N27" s="385"/>
      <c r="O27" s="385"/>
      <c r="P27" s="233"/>
      <c r="R27" s="1217" t="s">
        <v>580</v>
      </c>
      <c r="S27" s="1219"/>
      <c r="T27" s="1218">
        <f>'FINAL BIPT &amp; Cullen 2014'!J36</f>
        <v>1.8854619332375855E-3</v>
      </c>
      <c r="U27" s="1218">
        <f>'FINAL BIPT &amp; Cullen 2014'!P36</f>
        <v>2.8387853826273754E-3</v>
      </c>
      <c r="V27" s="1215"/>
      <c r="W27" s="1215"/>
    </row>
    <row r="28" spans="2:23">
      <c r="B28" s="233"/>
      <c r="C28" s="233"/>
      <c r="D28" s="233"/>
      <c r="E28" s="232"/>
      <c r="F28" s="1781"/>
      <c r="G28" s="1781"/>
      <c r="H28" s="1781"/>
      <c r="I28" s="1781"/>
      <c r="J28" s="384"/>
      <c r="K28" s="385"/>
      <c r="L28" s="385"/>
      <c r="M28" s="385"/>
      <c r="N28" s="385"/>
      <c r="O28" s="385"/>
      <c r="P28" s="233"/>
      <c r="R28" s="1216" t="s">
        <v>579</v>
      </c>
      <c r="S28" s="1221"/>
      <c r="T28" s="1222">
        <f>'Vs. Consultation Version '!AB36</f>
        <v>-4.2984766819494022E-3</v>
      </c>
      <c r="U28" s="1222">
        <f>'Vs. Consultation Version '!AC36</f>
        <v>1.3071607281516281E-3</v>
      </c>
      <c r="V28" s="1215"/>
      <c r="W28" s="1215"/>
    </row>
    <row r="29" spans="2:23">
      <c r="B29" s="233"/>
      <c r="C29" s="1132"/>
      <c r="D29" s="1132"/>
      <c r="E29" s="233"/>
      <c r="F29" s="1702" t="s">
        <v>590</v>
      </c>
      <c r="G29" s="233"/>
      <c r="H29" s="233"/>
      <c r="I29" s="233"/>
      <c r="J29" s="384"/>
      <c r="K29" s="385"/>
      <c r="L29" s="385"/>
      <c r="M29" s="385"/>
      <c r="N29" s="385"/>
      <c r="O29" s="385"/>
      <c r="P29" s="233"/>
      <c r="R29" s="1700" t="s">
        <v>586</v>
      </c>
      <c r="S29" s="929"/>
      <c r="T29" s="1215"/>
      <c r="U29" s="1215"/>
      <c r="V29" s="1215"/>
      <c r="W29" s="1215"/>
    </row>
    <row r="30" spans="2:23">
      <c r="B30" s="233"/>
      <c r="C30" s="1132"/>
      <c r="D30" s="259"/>
      <c r="E30" s="259"/>
      <c r="F30" s="1702" t="s">
        <v>591</v>
      </c>
      <c r="G30" s="233"/>
      <c r="H30" s="233"/>
      <c r="I30" s="233"/>
      <c r="J30" s="381"/>
      <c r="K30" s="382"/>
      <c r="L30" s="382"/>
      <c r="M30" s="383"/>
      <c r="N30" s="383"/>
      <c r="O30" s="383"/>
      <c r="P30" s="233"/>
      <c r="R30" s="1700" t="s">
        <v>587</v>
      </c>
      <c r="S30" s="929"/>
      <c r="T30" s="1215"/>
      <c r="U30" s="1215"/>
      <c r="V30" s="1215"/>
      <c r="W30" s="1215"/>
    </row>
    <row r="31" spans="2:23" ht="6" customHeight="1">
      <c r="B31" s="233"/>
      <c r="C31" s="233"/>
      <c r="D31" s="233"/>
      <c r="E31" s="233"/>
      <c r="F31" s="1211"/>
      <c r="G31" s="1211"/>
      <c r="H31" s="1211"/>
      <c r="I31" s="1211"/>
      <c r="J31" s="926"/>
      <c r="K31" s="926"/>
      <c r="L31" s="926"/>
      <c r="M31" s="926"/>
      <c r="N31" s="926"/>
      <c r="O31" s="926"/>
      <c r="P31" s="417"/>
      <c r="R31" s="929"/>
      <c r="S31" s="929"/>
      <c r="T31" s="1215"/>
      <c r="U31" s="1215"/>
      <c r="V31" s="1215"/>
      <c r="W31" s="1215"/>
    </row>
    <row r="32" spans="2:23" ht="13.15" customHeight="1">
      <c r="B32" s="233"/>
      <c r="C32" s="233"/>
      <c r="D32" s="233"/>
      <c r="E32" s="233"/>
      <c r="F32" s="1209" t="s">
        <v>584</v>
      </c>
      <c r="G32" s="1203">
        <f>G8-G24</f>
        <v>-5.8522017793822684E-3</v>
      </c>
      <c r="H32" s="1203">
        <f>H8-H24</f>
        <v>-1.2498336177331731E-2</v>
      </c>
      <c r="I32" s="1203">
        <f>I8-I24</f>
        <v>-3.730087474861709E-3</v>
      </c>
      <c r="J32" s="346"/>
      <c r="K32" s="258"/>
      <c r="L32" s="258"/>
      <c r="M32" s="258"/>
      <c r="N32" s="258"/>
      <c r="O32" s="258"/>
      <c r="P32" s="258"/>
      <c r="R32" s="929" t="str">
        <f>CONCATENATE("- And Rnot set at ",ROUND('FINAL BIPT &amp; Cullen 2014'!J31*100,2),"% (vs. ",ROUND('Vs. Consultation Version '!J31*100,2),"% previously).")</f>
        <v>- And Rnot set at 2,27% (vs. 2,79% previously).</v>
      </c>
      <c r="S32" s="1358"/>
      <c r="T32" s="1358"/>
      <c r="U32" s="1215"/>
      <c r="V32" s="1215"/>
      <c r="W32" s="1215"/>
    </row>
    <row r="33" spans="2:23">
      <c r="B33" s="233"/>
      <c r="C33" s="233"/>
      <c r="D33" s="233"/>
      <c r="E33" s="233"/>
      <c r="F33" s="1691" t="s">
        <v>582</v>
      </c>
      <c r="G33" s="1695">
        <f>G10-G25</f>
        <v>-5.2938392008271828E-3</v>
      </c>
      <c r="H33" s="1695">
        <f>H10-H25</f>
        <v>-1.9665227103951924E-2</v>
      </c>
      <c r="I33" s="1696">
        <f>I10-I25</f>
        <v>-1.5641179569791427E-2</v>
      </c>
      <c r="J33" s="346"/>
      <c r="K33" s="258"/>
      <c r="L33" s="258"/>
      <c r="M33" s="258"/>
      <c r="N33" s="258"/>
      <c r="O33" s="258"/>
      <c r="P33" s="258"/>
      <c r="R33" s="929"/>
      <c r="S33" s="929"/>
      <c r="T33" s="1215"/>
      <c r="U33" s="1215"/>
      <c r="V33" s="1215"/>
      <c r="W33" s="1215"/>
    </row>
    <row r="34" spans="2:23">
      <c r="B34" s="233"/>
      <c r="C34" s="233"/>
      <c r="D34" s="233"/>
      <c r="E34" s="233"/>
      <c r="F34" s="908"/>
      <c r="G34" s="908"/>
      <c r="H34" s="908"/>
      <c r="I34" s="908"/>
      <c r="J34" s="346"/>
      <c r="K34" s="258"/>
      <c r="L34" s="258"/>
      <c r="M34" s="258"/>
      <c r="N34" s="258"/>
      <c r="O34" s="258"/>
      <c r="P34" s="258"/>
      <c r="R34" s="929" t="s">
        <v>502</v>
      </c>
      <c r="S34" s="1358"/>
      <c r="T34" s="1358"/>
      <c r="U34" s="1215"/>
      <c r="V34" s="1215"/>
      <c r="W34" s="1215"/>
    </row>
    <row r="35" spans="2:23">
      <c r="B35" s="233"/>
      <c r="C35" s="1392" t="s">
        <v>508</v>
      </c>
      <c r="D35" s="1391"/>
      <c r="E35" s="109"/>
      <c r="F35" s="82" t="s">
        <v>583</v>
      </c>
      <c r="G35" s="260"/>
      <c r="H35" s="82"/>
      <c r="I35" s="350"/>
      <c r="J35" s="260"/>
      <c r="K35" s="100"/>
      <c r="L35" s="100"/>
      <c r="M35" s="260"/>
      <c r="N35" s="260"/>
      <c r="O35" s="260"/>
      <c r="P35" s="259"/>
      <c r="Q35" s="448"/>
      <c r="R35" s="1700" t="s">
        <v>588</v>
      </c>
      <c r="S35" s="929"/>
      <c r="T35" s="1215"/>
      <c r="U35" s="1215"/>
      <c r="V35" s="1215"/>
      <c r="W35" s="1215"/>
    </row>
    <row r="36" spans="2:23" s="931" customFormat="1" ht="17.45" customHeight="1">
      <c r="B36" s="930"/>
      <c r="C36" s="1697" t="s">
        <v>278</v>
      </c>
      <c r="D36" s="1464"/>
      <c r="E36" s="1464"/>
      <c r="F36" s="1570" t="s">
        <v>336</v>
      </c>
      <c r="G36" s="1686"/>
      <c r="H36" s="1686"/>
      <c r="I36" s="1686"/>
      <c r="J36" s="259"/>
      <c r="K36" s="259"/>
      <c r="L36" s="259"/>
      <c r="M36" s="259"/>
      <c r="N36" s="259"/>
      <c r="O36" s="968"/>
      <c r="P36" s="259"/>
      <c r="Q36" s="448"/>
      <c r="R36" s="1701" t="s">
        <v>589</v>
      </c>
      <c r="S36" s="929"/>
      <c r="T36" s="1215"/>
      <c r="U36" s="1215"/>
      <c r="V36" s="1215"/>
      <c r="W36" s="1215"/>
    </row>
    <row r="37" spans="2:23" s="931" customFormat="1" ht="17.45" customHeight="1">
      <c r="B37" s="930"/>
      <c r="C37" s="1697" t="s">
        <v>277</v>
      </c>
      <c r="D37" s="1464"/>
      <c r="E37" s="1464"/>
      <c r="F37" s="1570" t="s">
        <v>337</v>
      </c>
      <c r="G37" s="1686"/>
      <c r="H37" s="1686"/>
      <c r="I37" s="1686"/>
      <c r="J37" s="258"/>
      <c r="K37" s="258"/>
      <c r="L37" s="258"/>
      <c r="M37" s="455"/>
      <c r="N37" s="492"/>
      <c r="O37" s="968"/>
      <c r="P37" s="259"/>
      <c r="Q37" s="448"/>
      <c r="R37" s="1701" t="s">
        <v>624</v>
      </c>
      <c r="S37" s="1358"/>
      <c r="T37" s="1358"/>
      <c r="U37" s="1215"/>
      <c r="V37" s="1215"/>
      <c r="W37" s="1215"/>
    </row>
    <row r="38" spans="2:23" ht="8.4499999999999993" customHeight="1">
      <c r="B38" s="233"/>
      <c r="C38" s="233"/>
      <c r="D38" s="233"/>
      <c r="E38" s="233"/>
      <c r="F38" s="258"/>
      <c r="G38" s="258"/>
      <c r="H38" s="258"/>
      <c r="I38" s="258"/>
      <c r="J38" s="258"/>
      <c r="K38" s="258"/>
      <c r="L38" s="258"/>
      <c r="M38" s="258"/>
      <c r="N38" s="258"/>
      <c r="O38" s="258"/>
      <c r="P38" s="258"/>
      <c r="R38" s="928"/>
      <c r="S38" s="928"/>
      <c r="T38" s="1214"/>
      <c r="U38" s="1214"/>
      <c r="V38" s="1214"/>
      <c r="W38" s="1214"/>
    </row>
    <row r="39" spans="2:23">
      <c r="B39" s="262"/>
      <c r="C39" s="263"/>
      <c r="D39" s="263"/>
      <c r="E39" s="263"/>
      <c r="F39" s="348" t="s">
        <v>191</v>
      </c>
      <c r="G39" s="320"/>
      <c r="H39" s="263"/>
      <c r="I39" s="263"/>
      <c r="J39" s="263"/>
      <c r="K39" s="263"/>
      <c r="L39" s="264"/>
      <c r="M39" s="901"/>
      <c r="N39" s="901"/>
      <c r="O39" s="921" t="s">
        <v>395</v>
      </c>
      <c r="P39" s="901"/>
      <c r="Q39" s="449"/>
    </row>
    <row r="40" spans="2:23">
      <c r="B40" s="262"/>
      <c r="C40" s="265"/>
      <c r="D40" s="265"/>
      <c r="E40" s="265"/>
      <c r="F40" s="759" t="s">
        <v>192</v>
      </c>
      <c r="G40" s="233"/>
      <c r="H40" s="265"/>
      <c r="I40" s="265"/>
      <c r="J40" s="265"/>
      <c r="K40" s="265"/>
      <c r="L40" s="262"/>
      <c r="M40" s="262"/>
      <c r="N40" s="262"/>
      <c r="O40" s="262"/>
      <c r="P40" s="262"/>
      <c r="Q40" s="450"/>
    </row>
    <row r="41" spans="2:23">
      <c r="B41" s="262"/>
      <c r="C41" s="265"/>
      <c r="D41" s="265"/>
      <c r="E41" s="265"/>
      <c r="F41" s="759" t="s">
        <v>193</v>
      </c>
      <c r="G41" s="233"/>
      <c r="H41" s="265"/>
      <c r="I41" s="265"/>
      <c r="J41" s="265"/>
      <c r="K41" s="265"/>
      <c r="L41" s="262"/>
      <c r="M41" s="262"/>
      <c r="N41" s="262"/>
      <c r="O41" s="262"/>
      <c r="P41" s="262"/>
      <c r="Q41" s="450"/>
    </row>
    <row r="42" spans="2:23" ht="8.4499999999999993" customHeight="1">
      <c r="B42" s="262"/>
      <c r="C42" s="265"/>
      <c r="D42" s="265"/>
      <c r="E42" s="265"/>
      <c r="F42" s="349"/>
      <c r="G42" s="265"/>
      <c r="H42" s="265"/>
      <c r="I42" s="265"/>
      <c r="J42" s="265"/>
      <c r="K42" s="265"/>
      <c r="L42" s="262"/>
      <c r="M42" s="262"/>
      <c r="N42" s="262"/>
      <c r="O42" s="262"/>
      <c r="P42" s="262"/>
      <c r="Q42" s="450"/>
    </row>
  </sheetData>
  <mergeCells count="8">
    <mergeCell ref="F14:O15"/>
    <mergeCell ref="R5:T5"/>
    <mergeCell ref="R15:W18"/>
    <mergeCell ref="F27:I28"/>
    <mergeCell ref="C5:D5"/>
    <mergeCell ref="F12:O13"/>
    <mergeCell ref="R23:W24"/>
    <mergeCell ref="F17:O18"/>
  </mergeCells>
  <hyperlinks>
    <hyperlink ref="C5" location="'WACC BIPT &amp; Cullen 2013'!A1" display="'WACC BIPT &amp; Cullen 2013'!A1"/>
    <hyperlink ref="R5" location="'Vs. Consultation Version '!A1" display="Vs. Consultation Versions"/>
    <hyperlink ref="C36" location="'(Cullen 2010 Fixed)'!A1" display="Cullen 2010 Fixed"/>
    <hyperlink ref="C37" location="'(Cullen 2010 Mobile)'!A1" display="Cullen 2010 Mobile"/>
    <hyperlink ref="C5:D5" location="'FINAL BIPT &amp; Cullen 2014'!A1" display="Final BIPT &amp; Cullen 2014"/>
    <hyperlink ref="C35" location="'TO MS WORD'!A1" display="To MS Word"/>
    <hyperlink ref="R5:S5" location="'INDEX-SUMMARY'!A1" display="Vs. Consultation Version"/>
  </hyperlink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CR129"/>
  <sheetViews>
    <sheetView showGridLines="0" topLeftCell="B1" zoomScale="90" zoomScaleNormal="90" workbookViewId="0">
      <pane xSplit="2" ySplit="1" topLeftCell="D2" activePane="bottomRight" state="frozen"/>
      <selection activeCell="B1" sqref="B1"/>
      <selection pane="topRight" activeCell="D1" sqref="D1"/>
      <selection pane="bottomLeft" activeCell="B2" sqref="B2"/>
      <selection pane="bottomRight" activeCell="Y35" sqref="Y35"/>
    </sheetView>
  </sheetViews>
  <sheetFormatPr defaultColWidth="11.5703125" defaultRowHeight="12.75"/>
  <cols>
    <col min="1" max="1" width="22.140625" style="994" bestFit="1" customWidth="1"/>
    <col min="2" max="2" width="24.5703125" style="995" bestFit="1" customWidth="1"/>
    <col min="3" max="3" width="6.28515625" style="995" customWidth="1"/>
    <col min="4" max="4" width="7.7109375" style="996" customWidth="1"/>
    <col min="5" max="6" width="7.7109375" style="997" bestFit="1" customWidth="1"/>
    <col min="7" max="7" width="7.7109375" style="998" bestFit="1" customWidth="1"/>
    <col min="8" max="9" width="7.7109375" style="997" bestFit="1" customWidth="1"/>
    <col min="10" max="10" width="7.7109375" style="998" bestFit="1" customWidth="1"/>
    <col min="11" max="11" width="7.7109375" style="997" bestFit="1" customWidth="1"/>
    <col min="12" max="12" width="7.7109375" style="997" customWidth="1"/>
    <col min="13" max="13" width="8.5703125" style="998" bestFit="1" customWidth="1"/>
    <col min="14" max="15" width="7.7109375" style="997" bestFit="1" customWidth="1"/>
    <col min="16" max="16" width="8.140625" style="998" bestFit="1" customWidth="1"/>
    <col min="17" max="17" width="7.7109375" style="997" bestFit="1" customWidth="1"/>
    <col min="18" max="18" width="8.28515625" style="997" customWidth="1"/>
    <col min="19" max="19" width="2" style="1165" bestFit="1" customWidth="1"/>
    <col min="20" max="20" width="6.42578125" style="999" customWidth="1"/>
    <col min="21" max="21" width="10.140625" style="999" bestFit="1" customWidth="1"/>
    <col min="22" max="22" width="8.85546875" style="999" customWidth="1"/>
    <col min="23" max="23" width="9.28515625" style="1000" bestFit="1" customWidth="1"/>
    <col min="24" max="24" width="8.85546875" style="1000" customWidth="1"/>
    <col min="25" max="25" width="8.140625" style="999" customWidth="1"/>
    <col min="26" max="26" width="15" style="999" customWidth="1"/>
    <col min="27" max="27" width="6.140625" style="997" hidden="1" customWidth="1"/>
    <col min="28" max="28" width="10.140625" style="1000" hidden="1" customWidth="1"/>
    <col min="29" max="29" width="15.7109375" style="1000" hidden="1" customWidth="1"/>
    <col min="30" max="30" width="8.85546875" style="1000" hidden="1" customWidth="1"/>
    <col min="31" max="31" width="7.85546875" style="1000" hidden="1" customWidth="1"/>
    <col min="32" max="32" width="7.7109375" style="1000" hidden="1" customWidth="1"/>
    <col min="33" max="33" width="5" style="999" hidden="1" customWidth="1"/>
    <col min="34" max="34" width="7" style="999" customWidth="1"/>
    <col min="35" max="35" width="11.5703125" style="997" bestFit="1" customWidth="1"/>
    <col min="36" max="36" width="10.7109375" style="998" customWidth="1"/>
    <col min="37" max="37" width="11.140625" style="998" customWidth="1"/>
    <col min="38" max="38" width="10.140625" style="998" bestFit="1" customWidth="1"/>
    <col min="39" max="39" width="2.28515625" style="998" customWidth="1"/>
    <col min="40" max="40" width="14.5703125" style="1001" customWidth="1"/>
    <col min="41" max="41" width="12.42578125" style="1001" bestFit="1" customWidth="1"/>
    <col min="42" max="42" width="17.28515625" style="1001" customWidth="1"/>
    <col min="43" max="43" width="13.7109375" style="1001" customWidth="1"/>
    <col min="44" max="44" width="14.42578125" style="1001" bestFit="1" customWidth="1"/>
    <col min="45" max="45" width="13.85546875" style="1001" bestFit="1" customWidth="1"/>
    <col min="46" max="46" width="11.5703125" style="1001"/>
    <col min="47" max="47" width="14" style="1001" customWidth="1"/>
    <col min="48" max="48" width="15.5703125" style="1001" customWidth="1"/>
    <col min="49" max="49" width="2.28515625" style="1001" customWidth="1"/>
    <col min="50" max="50" width="10.5703125" style="1001" customWidth="1"/>
    <col min="51" max="51" width="13.5703125" style="1001" customWidth="1"/>
    <col min="52" max="52" width="10.140625" style="1001" bestFit="1" customWidth="1"/>
    <col min="53" max="53" width="15.7109375" style="1001" bestFit="1" customWidth="1"/>
    <col min="54" max="54" width="6.7109375" style="1001" bestFit="1" customWidth="1"/>
    <col min="55" max="55" width="11.7109375" style="1001" customWidth="1"/>
    <col min="56" max="56" width="12" style="1001" customWidth="1"/>
    <col min="57" max="57" width="11.85546875" style="1001" customWidth="1"/>
    <col min="58" max="60" width="10.85546875" style="1001" customWidth="1"/>
    <col min="61" max="61" width="11.85546875" style="1001" bestFit="1" customWidth="1"/>
    <col min="62" max="62" width="7.140625" style="1001" bestFit="1" customWidth="1"/>
    <col min="63" max="63" width="11.5703125" style="1001"/>
    <col min="64" max="64" width="8.140625" style="1001" bestFit="1" customWidth="1"/>
    <col min="65" max="65" width="2.5703125" style="1001" customWidth="1"/>
    <col min="66" max="66" width="11.5703125" style="1001"/>
    <col min="67" max="67" width="13.5703125" style="1001" customWidth="1"/>
    <col min="68" max="68" width="10.140625" style="1001" bestFit="1" customWidth="1"/>
    <col min="69" max="69" width="15.7109375" style="1001" bestFit="1" customWidth="1"/>
    <col min="70" max="70" width="8.42578125" style="1001" customWidth="1"/>
    <col min="71" max="71" width="12.5703125" style="1001" customWidth="1"/>
    <col min="72" max="72" width="11.5703125" style="1001"/>
    <col min="73" max="73" width="12" style="1001" customWidth="1"/>
    <col min="74" max="76" width="10.5703125" style="1001" customWidth="1"/>
    <col min="77" max="77" width="12.85546875" style="1001" bestFit="1" customWidth="1"/>
    <col min="78" max="78" width="7.28515625" style="1001" bestFit="1" customWidth="1"/>
    <col min="79" max="79" width="12.7109375" style="1001" bestFit="1" customWidth="1"/>
    <col min="80" max="80" width="7" style="1001" bestFit="1" customWidth="1"/>
    <col min="81" max="81" width="2.28515625" style="1001" customWidth="1"/>
    <col min="82" max="82" width="14.140625" style="1001" customWidth="1"/>
    <col min="83" max="83" width="13.42578125" style="1001" customWidth="1"/>
    <col min="84" max="84" width="10.140625" style="1001" bestFit="1" customWidth="1"/>
    <col min="85" max="85" width="14" style="1001" customWidth="1"/>
    <col min="86" max="86" width="6.7109375" style="1001" bestFit="1" customWidth="1"/>
    <col min="87" max="87" width="11.5703125" style="1001" customWidth="1"/>
    <col min="88" max="88" width="14.42578125" style="1001" customWidth="1"/>
    <col min="89" max="89" width="12.28515625" style="1001" customWidth="1"/>
    <col min="90" max="92" width="10.5703125" style="1001" customWidth="1"/>
    <col min="93" max="93" width="8.28515625" style="1001" bestFit="1" customWidth="1"/>
    <col min="94" max="94" width="7.5703125" style="1001" bestFit="1" customWidth="1"/>
    <col min="95" max="95" width="12.7109375" style="1001" bestFit="1" customWidth="1"/>
    <col min="96" max="96" width="7" style="1001" bestFit="1" customWidth="1"/>
    <col min="97" max="97" width="2.85546875" style="1001" customWidth="1"/>
    <col min="98" max="16384" width="11.5703125" style="1001"/>
  </cols>
  <sheetData>
    <row r="1" spans="1:96" s="1003" customFormat="1">
      <c r="A1" s="214"/>
      <c r="B1" s="1836" t="s">
        <v>421</v>
      </c>
      <c r="C1" s="1837"/>
      <c r="D1" s="294"/>
      <c r="E1" s="676" t="s">
        <v>135</v>
      </c>
      <c r="F1" s="677" t="s">
        <v>136</v>
      </c>
      <c r="G1" s="860"/>
      <c r="H1" s="676" t="s">
        <v>135</v>
      </c>
      <c r="I1" s="677" t="s">
        <v>136</v>
      </c>
      <c r="J1" s="860"/>
      <c r="K1" s="676" t="s">
        <v>135</v>
      </c>
      <c r="L1" s="677" t="s">
        <v>136</v>
      </c>
      <c r="M1" s="861"/>
      <c r="N1" s="676" t="s">
        <v>135</v>
      </c>
      <c r="O1" s="677" t="s">
        <v>136</v>
      </c>
      <c r="P1" s="860"/>
      <c r="Q1" s="676" t="s">
        <v>135</v>
      </c>
      <c r="R1" s="677" t="s">
        <v>136</v>
      </c>
      <c r="S1" s="1152"/>
      <c r="T1" s="30"/>
      <c r="U1" s="365" t="s">
        <v>177</v>
      </c>
      <c r="V1" s="130" t="s">
        <v>307</v>
      </c>
      <c r="W1" s="27"/>
      <c r="X1" s="130"/>
      <c r="Y1" s="130"/>
      <c r="Z1" s="30"/>
      <c r="AA1" s="359"/>
      <c r="AB1" s="295" t="s">
        <v>177</v>
      </c>
      <c r="AC1" s="130" t="s">
        <v>279</v>
      </c>
      <c r="AD1" s="27"/>
      <c r="AE1" s="28"/>
      <c r="AF1" s="29"/>
      <c r="AG1" s="30"/>
      <c r="AH1" s="30"/>
      <c r="AI1" s="1833" t="s">
        <v>401</v>
      </c>
      <c r="AJ1" s="1834"/>
      <c r="AK1" s="1834"/>
      <c r="AL1" s="1835"/>
      <c r="AM1" s="1416"/>
      <c r="AN1" s="1172" t="s">
        <v>269</v>
      </c>
      <c r="AO1" s="1173" t="s">
        <v>436</v>
      </c>
      <c r="AP1" s="1074" t="s">
        <v>411</v>
      </c>
      <c r="AQ1" s="479" t="s">
        <v>437</v>
      </c>
      <c r="AR1" s="26"/>
      <c r="AS1" s="26"/>
      <c r="AT1" s="269"/>
      <c r="AU1" s="26"/>
      <c r="AV1" s="26"/>
      <c r="AW1" s="1145"/>
      <c r="AX1" s="1174" t="s">
        <v>297</v>
      </c>
      <c r="AY1" s="292" t="s">
        <v>284</v>
      </c>
      <c r="AZ1" s="306">
        <f>AVERAGE(BB57:BB59,BB61:BB63,BB65:BB74)</f>
        <v>8.7201361612448305E-2</v>
      </c>
      <c r="BA1" s="292" t="s">
        <v>251</v>
      </c>
      <c r="BB1" s="293">
        <f>MEDIAN(BB57:BB59,BB61:BB63,BB65:BB74)</f>
        <v>9.4299999999999995E-2</v>
      </c>
      <c r="BC1" s="307" t="s">
        <v>447</v>
      </c>
      <c r="BD1" s="271"/>
      <c r="BE1" s="269" t="s">
        <v>413</v>
      </c>
      <c r="BF1" s="479"/>
      <c r="BG1" s="480"/>
      <c r="BH1" s="393" t="s">
        <v>457</v>
      </c>
      <c r="BI1" s="483" t="s">
        <v>415</v>
      </c>
      <c r="BJ1" s="1126" t="s">
        <v>333</v>
      </c>
      <c r="BK1" s="393" t="s">
        <v>288</v>
      </c>
      <c r="BL1" s="482" t="s">
        <v>466</v>
      </c>
      <c r="BM1" s="1145"/>
      <c r="BN1" s="1174" t="s">
        <v>298</v>
      </c>
      <c r="BO1" s="292" t="s">
        <v>250</v>
      </c>
      <c r="BP1" s="306">
        <f>AVERAGE(BR57:BR61,BR63:BR72)</f>
        <v>9.3812781156032823E-2</v>
      </c>
      <c r="BQ1" s="292" t="s">
        <v>251</v>
      </c>
      <c r="BR1" s="293">
        <f>MEDIAN(BR57:BR61,BR63:BR72)</f>
        <v>0.1004917173404925</v>
      </c>
      <c r="BS1" s="307" t="s">
        <v>447</v>
      </c>
      <c r="BT1" s="271"/>
      <c r="BU1" s="269" t="s">
        <v>413</v>
      </c>
      <c r="BV1" s="479"/>
      <c r="BW1" s="480"/>
      <c r="BX1" s="393" t="s">
        <v>457</v>
      </c>
      <c r="BY1" s="483" t="s">
        <v>416</v>
      </c>
      <c r="BZ1" s="1126" t="s">
        <v>476</v>
      </c>
      <c r="CA1" s="393" t="s">
        <v>291</v>
      </c>
      <c r="CB1" s="482" t="s">
        <v>455</v>
      </c>
      <c r="CC1" s="1145"/>
      <c r="CD1" s="1174" t="s">
        <v>460</v>
      </c>
      <c r="CE1" s="292" t="s">
        <v>284</v>
      </c>
      <c r="CF1" s="306">
        <f>AVERAGE(CI57:CI62,CI65:CI72)</f>
        <v>3.6953726204967639E-3</v>
      </c>
      <c r="CG1" s="292" t="s">
        <v>251</v>
      </c>
      <c r="CH1" s="293">
        <f>MEDIAN(CI57:CI62,CI65:CI72)</f>
        <v>4.6849657706598408E-3</v>
      </c>
      <c r="CI1" s="307" t="s">
        <v>447</v>
      </c>
      <c r="CJ1" s="271"/>
      <c r="CK1" s="269" t="s">
        <v>413</v>
      </c>
      <c r="CL1" s="484"/>
      <c r="CM1" s="485"/>
      <c r="CN1" s="388" t="s">
        <v>457</v>
      </c>
      <c r="CO1" s="486" t="s">
        <v>420</v>
      </c>
      <c r="CP1" s="1137" t="s">
        <v>620</v>
      </c>
      <c r="CQ1" s="388" t="s">
        <v>300</v>
      </c>
      <c r="CR1" s="1139" t="s">
        <v>455</v>
      </c>
    </row>
    <row r="2" spans="1:96" s="1004" customFormat="1">
      <c r="A2" s="215"/>
      <c r="B2" s="734" t="s">
        <v>151</v>
      </c>
      <c r="C2" s="735"/>
      <c r="D2" s="42" t="s">
        <v>159</v>
      </c>
      <c r="E2" s="251" t="str">
        <f>D2</f>
        <v>10Y</v>
      </c>
      <c r="F2" s="251" t="str">
        <f>D2</f>
        <v>10Y</v>
      </c>
      <c r="G2" s="42" t="str">
        <f>J2</f>
        <v>10Y</v>
      </c>
      <c r="H2" s="251" t="str">
        <f>G2</f>
        <v>10Y</v>
      </c>
      <c r="I2" s="251" t="str">
        <f>G2</f>
        <v>10Y</v>
      </c>
      <c r="J2" s="127" t="s">
        <v>159</v>
      </c>
      <c r="K2" s="251" t="str">
        <f>J2</f>
        <v>10Y</v>
      </c>
      <c r="L2" s="251" t="str">
        <f>J2</f>
        <v>10Y</v>
      </c>
      <c r="M2" s="42" t="str">
        <f>P2</f>
        <v>10Y</v>
      </c>
      <c r="N2" s="251" t="str">
        <f>M2</f>
        <v>10Y</v>
      </c>
      <c r="O2" s="251" t="str">
        <f>M2</f>
        <v>10Y</v>
      </c>
      <c r="P2" s="127" t="s">
        <v>159</v>
      </c>
      <c r="Q2" s="251" t="str">
        <f>P2</f>
        <v>10Y</v>
      </c>
      <c r="R2" s="251" t="str">
        <f>P2</f>
        <v>10Y</v>
      </c>
      <c r="S2" s="1153"/>
      <c r="T2" s="38"/>
      <c r="U2" s="66" t="s">
        <v>159</v>
      </c>
      <c r="V2" s="1405" t="s">
        <v>159</v>
      </c>
      <c r="W2" s="1405" t="s">
        <v>159</v>
      </c>
      <c r="X2" s="1405" t="s">
        <v>159</v>
      </c>
      <c r="Y2" s="1405" t="s">
        <v>159</v>
      </c>
      <c r="Z2" s="362" t="s">
        <v>151</v>
      </c>
      <c r="AA2" s="418"/>
      <c r="AB2" s="34"/>
      <c r="AC2" s="35"/>
      <c r="AD2" s="36"/>
      <c r="AE2" s="35"/>
      <c r="AF2" s="37"/>
      <c r="AG2" s="38"/>
      <c r="AH2" s="424"/>
      <c r="AI2" s="721" t="str">
        <f>IF(D2=$U$2,"","!!!")</f>
        <v/>
      </c>
      <c r="AJ2" s="721" t="str">
        <f>IF(J2=$U$2,"","!!!")</f>
        <v/>
      </c>
      <c r="AK2" s="721" t="str">
        <f>IF(P2=$U$2,"","!!!")</f>
        <v/>
      </c>
      <c r="AL2" s="720" t="str">
        <f>IF(M2=$U$2,"","!!!")</f>
        <v/>
      </c>
      <c r="AM2" s="998"/>
      <c r="AN2" s="39"/>
      <c r="AO2" s="39"/>
      <c r="AP2" s="39"/>
      <c r="AQ2" s="39"/>
      <c r="AR2" s="39"/>
      <c r="AS2" s="39"/>
      <c r="AT2" s="39"/>
      <c r="AU2" s="39"/>
      <c r="AV2" s="39"/>
      <c r="AX2" s="39"/>
      <c r="AY2" s="391" t="s">
        <v>412</v>
      </c>
      <c r="AZ2" s="395">
        <f>$J$38-AZ1</f>
        <v>-5.8522017793822684E-3</v>
      </c>
      <c r="BA2" s="393" t="s">
        <v>338</v>
      </c>
      <c r="BB2" s="392">
        <f>$J$38-BB1</f>
        <v>-1.2950840166933958E-2</v>
      </c>
      <c r="BC2" s="1198" t="s">
        <v>467</v>
      </c>
      <c r="BD2" s="394"/>
      <c r="BE2" s="39"/>
      <c r="BF2" s="323"/>
      <c r="BG2" s="26"/>
      <c r="BH2" s="400" t="s">
        <v>289</v>
      </c>
      <c r="BI2" s="393" t="s">
        <v>288</v>
      </c>
      <c r="BJ2" s="481" t="s">
        <v>294</v>
      </c>
      <c r="BK2" s="393" t="s">
        <v>290</v>
      </c>
      <c r="BL2" s="482" t="s">
        <v>295</v>
      </c>
      <c r="BN2" s="39"/>
      <c r="BO2" s="391" t="s">
        <v>412</v>
      </c>
      <c r="BP2" s="395">
        <f>$P$38-BP1</f>
        <v>-1.2498336177331731E-2</v>
      </c>
      <c r="BQ2" s="393" t="s">
        <v>338</v>
      </c>
      <c r="BR2" s="392">
        <f>$P$38-BR1</f>
        <v>-1.9177272361791411E-2</v>
      </c>
      <c r="BS2" s="1198" t="s">
        <v>467</v>
      </c>
      <c r="BT2" s="394"/>
      <c r="BU2" s="39"/>
      <c r="BV2" s="323"/>
      <c r="BW2" s="26"/>
      <c r="BX2" s="400" t="s">
        <v>289</v>
      </c>
      <c r="BY2" s="393" t="s">
        <v>291</v>
      </c>
      <c r="BZ2" s="481" t="s">
        <v>625</v>
      </c>
      <c r="CA2" s="393" t="s">
        <v>292</v>
      </c>
      <c r="CB2" s="482" t="s">
        <v>626</v>
      </c>
      <c r="CD2" s="39"/>
      <c r="CE2" s="393" t="s">
        <v>412</v>
      </c>
      <c r="CF2" s="395">
        <f>$P$39-CF1</f>
        <v>-3.730087474861709E-3</v>
      </c>
      <c r="CG2" s="393" t="s">
        <v>338</v>
      </c>
      <c r="CH2" s="392">
        <f>$P$39-CH1</f>
        <v>-4.7196806250247858E-3</v>
      </c>
      <c r="CI2" s="1198" t="s">
        <v>467</v>
      </c>
      <c r="CJ2" s="394"/>
      <c r="CK2" s="39"/>
      <c r="CL2" s="323"/>
      <c r="CM2" s="26"/>
      <c r="CN2" s="400" t="s">
        <v>289</v>
      </c>
      <c r="CO2" s="400" t="s">
        <v>300</v>
      </c>
      <c r="CP2" s="1138" t="s">
        <v>303</v>
      </c>
      <c r="CQ2" s="400" t="s">
        <v>472</v>
      </c>
      <c r="CR2" s="1140" t="s">
        <v>304</v>
      </c>
    </row>
    <row r="3" spans="1:96">
      <c r="A3" s="216" t="s">
        <v>7</v>
      </c>
      <c r="B3" s="1799" t="s">
        <v>0</v>
      </c>
      <c r="C3" s="1800"/>
      <c r="D3" s="243">
        <f>HLOOKUP(D2,$E$58:$Q$61,2,FALSE)/100</f>
        <v>2.6303155319238606E-2</v>
      </c>
      <c r="E3" s="675">
        <f>HLOOKUP(E2,$E$58:$Q$61,3,FALSE)/100</f>
        <v>2.1543636942675169E-2</v>
      </c>
      <c r="F3" s="675">
        <f>HLOOKUP(F2,$E$58:$Q$61,4,FALSE)/100</f>
        <v>3.4791202534501686E-2</v>
      </c>
      <c r="G3" s="243">
        <f>HLOOKUP(G2,$E$58:$Q$61,2,FALSE)/100</f>
        <v>2.6303155319238606E-2</v>
      </c>
      <c r="H3" s="675">
        <f>HLOOKUP(H2,$E$58:$Q$61,3,FALSE)/100</f>
        <v>2.1543636942675169E-2</v>
      </c>
      <c r="I3" s="675">
        <f>HLOOKUP(I2,$E$58:$Q$61,4,FALSE)/100</f>
        <v>3.4791202534501686E-2</v>
      </c>
      <c r="J3" s="127">
        <f>HLOOKUP(J2,$E$58:$Q$61,2,FALSE)/100</f>
        <v>2.6303155319238606E-2</v>
      </c>
      <c r="K3" s="675">
        <f>HLOOKUP(K2,$E$58:$Q$61,3,FALSE)/100</f>
        <v>2.1543636942675169E-2</v>
      </c>
      <c r="L3" s="675">
        <f>HLOOKUP(L2,$E$58:$Q$61,4,FALSE)/100</f>
        <v>3.4791202534501686E-2</v>
      </c>
      <c r="M3" s="243">
        <f>HLOOKUP(M2,$E$58:$Q$61,2,FALSE)/100</f>
        <v>2.6303155319238606E-2</v>
      </c>
      <c r="N3" s="675">
        <f>HLOOKUP(N2,$E$58:$Q$61,3,FALSE)/100</f>
        <v>2.1543636942675169E-2</v>
      </c>
      <c r="O3" s="675">
        <f>HLOOKUP(O2,$E$58:$Q$61,4,FALSE)/100</f>
        <v>3.4791202534501686E-2</v>
      </c>
      <c r="P3" s="127">
        <f>HLOOKUP(P2,$E$58:$Q$61,2,FALSE)/100</f>
        <v>2.6303155319238606E-2</v>
      </c>
      <c r="Q3" s="675">
        <f>HLOOKUP(Q2,$E$58:$Q$61,3,FALSE)/100</f>
        <v>2.1543636942675169E-2</v>
      </c>
      <c r="R3" s="675">
        <f>HLOOKUP(R2,$E$58:$Q$61,4,FALSE)/100</f>
        <v>3.4791202534501686E-2</v>
      </c>
      <c r="S3" s="1153"/>
      <c r="T3" s="47"/>
      <c r="U3" s="59">
        <v>0.04</v>
      </c>
      <c r="V3" s="44">
        <f>$U$3</f>
        <v>0.04</v>
      </c>
      <c r="W3" s="44">
        <f>$U$3</f>
        <v>0.04</v>
      </c>
      <c r="X3" s="44">
        <f>$U$3</f>
        <v>0.04</v>
      </c>
      <c r="Y3" s="45">
        <f>$U$3</f>
        <v>0.04</v>
      </c>
      <c r="Z3" s="311" t="s">
        <v>0</v>
      </c>
      <c r="AA3" s="419"/>
      <c r="AB3" s="46">
        <v>3.9E-2</v>
      </c>
      <c r="AC3" s="44">
        <f>$AB$3</f>
        <v>3.9E-2</v>
      </c>
      <c r="AD3" s="44">
        <f>$AB$3</f>
        <v>3.9E-2</v>
      </c>
      <c r="AE3" s="44">
        <f>$AB$3</f>
        <v>3.9E-2</v>
      </c>
      <c r="AF3" s="45">
        <f>$AB$3</f>
        <v>3.9E-2</v>
      </c>
      <c r="AG3" s="47"/>
      <c r="AH3" s="387"/>
      <c r="AI3" s="687">
        <f>D3-U3</f>
        <v>-1.3696844680761395E-2</v>
      </c>
      <c r="AJ3" s="712">
        <f>J3-V3</f>
        <v>-1.3696844680761395E-2</v>
      </c>
      <c r="AK3" s="108">
        <f>P3-Y3</f>
        <v>-1.3696844680761395E-2</v>
      </c>
      <c r="AL3" s="770">
        <f>M3-X3</f>
        <v>-1.3696844680761395E-2</v>
      </c>
      <c r="AM3" s="1087"/>
      <c r="AN3" s="1088"/>
      <c r="AO3" s="52"/>
      <c r="AP3" s="52"/>
      <c r="AQ3" s="52"/>
      <c r="AR3" s="1787" t="s">
        <v>435</v>
      </c>
      <c r="AS3" s="1788"/>
      <c r="AT3" s="1789"/>
      <c r="AU3" s="52"/>
      <c r="AV3" s="52"/>
      <c r="AX3" s="48"/>
      <c r="AY3" s="48"/>
      <c r="AZ3" s="48"/>
      <c r="BA3" s="48"/>
      <c r="BB3" s="48"/>
      <c r="BC3" s="48"/>
      <c r="BD3" s="48"/>
      <c r="BE3" s="41"/>
      <c r="BF3" s="41"/>
      <c r="BG3" s="41"/>
      <c r="BH3" s="48"/>
      <c r="BI3" s="48"/>
      <c r="BJ3" s="41"/>
      <c r="BK3" s="41"/>
      <c r="BL3" s="41"/>
      <c r="BM3" s="1005"/>
      <c r="BN3" s="48"/>
      <c r="BO3" s="48"/>
      <c r="BP3" s="48"/>
      <c r="BQ3" s="48"/>
      <c r="BR3" s="48"/>
      <c r="BS3" s="48"/>
      <c r="BT3" s="48"/>
      <c r="BU3" s="41"/>
      <c r="BV3" s="48"/>
      <c r="BW3" s="48"/>
      <c r="BX3" s="48"/>
      <c r="BY3" s="321"/>
      <c r="BZ3" s="48"/>
      <c r="CA3" s="48"/>
      <c r="CB3" s="48"/>
      <c r="CD3" s="48"/>
      <c r="CE3" s="102"/>
      <c r="CF3" s="102"/>
      <c r="CG3" s="1135"/>
      <c r="CH3" s="1136"/>
      <c r="CI3" s="1135"/>
      <c r="CJ3" s="1136"/>
      <c r="CK3" s="41"/>
      <c r="CL3" s="48"/>
      <c r="CM3" s="48"/>
      <c r="CN3" s="48"/>
      <c r="CO3" s="48"/>
      <c r="CP3" s="48"/>
      <c r="CQ3" s="48"/>
      <c r="CR3" s="48"/>
    </row>
    <row r="4" spans="1:96" s="1005" customFormat="1">
      <c r="A4" s="215" t="s">
        <v>133</v>
      </c>
      <c r="B4" s="1799" t="s">
        <v>361</v>
      </c>
      <c r="C4" s="1800"/>
      <c r="D4" s="195">
        <f>HLOOKUP(D2,$E$62:$Q$65,2,FALSE)/100</f>
        <v>6.4031868806607058E-3</v>
      </c>
      <c r="E4" s="675">
        <f>HLOOKUP(E2,$E$62:$Q$65,3,FALSE)/100</f>
        <v>6.454065477657079E-3</v>
      </c>
      <c r="F4" s="675">
        <f>HLOOKUP(F2,$E$62:$Q$65,4,FALSE)/100</f>
        <v>7.6673911259305507E-3</v>
      </c>
      <c r="G4" s="195">
        <f>HLOOKUP(G2,$E$62:$Q$65,2,FALSE)/100</f>
        <v>6.4031868806607058E-3</v>
      </c>
      <c r="H4" s="675">
        <f>HLOOKUP(H2,$E$62:$Q$65,3,FALSE)/100</f>
        <v>6.454065477657079E-3</v>
      </c>
      <c r="I4" s="675">
        <f>HLOOKUP(I2,$E$62:$Q$65,4,FALSE)/100</f>
        <v>7.6673911259305507E-3</v>
      </c>
      <c r="J4" s="59">
        <f>HLOOKUP(J2,$E$62:$Q$65,2,FALSE)/100</f>
        <v>6.4031868806607058E-3</v>
      </c>
      <c r="K4" s="675">
        <f>HLOOKUP(K2,$E$62:$Q$65,3,FALSE)/100</f>
        <v>6.454065477657079E-3</v>
      </c>
      <c r="L4" s="675">
        <f>HLOOKUP(L2,$E$62:$Q$65,4,FALSE)/100</f>
        <v>7.6673911259305507E-3</v>
      </c>
      <c r="M4" s="195">
        <f>HLOOKUP(M2,$E$62:$Q$65,2,FALSE)/100</f>
        <v>6.4031868806607058E-3</v>
      </c>
      <c r="N4" s="675">
        <f>HLOOKUP(N2,$E$62:$Q$65,3,FALSE)/100</f>
        <v>6.454065477657079E-3</v>
      </c>
      <c r="O4" s="675">
        <f>HLOOKUP(O2,$E$62:$Q$65,4,FALSE)/100</f>
        <v>7.6673911259305507E-3</v>
      </c>
      <c r="P4" s="59">
        <f>HLOOKUP(P2,$E$62:$Q$65,2,FALSE)/100</f>
        <v>6.4031868806607058E-3</v>
      </c>
      <c r="Q4" s="675">
        <f>HLOOKUP(Q2,$E$62:$Q$65,3,FALSE)/100</f>
        <v>6.454065477657079E-3</v>
      </c>
      <c r="R4" s="675">
        <f>HLOOKUP(R2,$E$62:$Q$65,4,FALSE)/100</f>
        <v>7.6673911259305507E-3</v>
      </c>
      <c r="S4" s="1154"/>
      <c r="T4" s="49"/>
      <c r="U4" s="56"/>
      <c r="V4" s="44"/>
      <c r="W4" s="44"/>
      <c r="X4" s="44"/>
      <c r="Y4" s="44"/>
      <c r="Z4" s="362" t="s">
        <v>262</v>
      </c>
      <c r="AA4" s="215"/>
      <c r="AB4" s="53"/>
      <c r="AC4" s="54"/>
      <c r="AD4" s="54"/>
      <c r="AE4" s="54"/>
      <c r="AF4" s="55"/>
      <c r="AG4" s="49"/>
      <c r="AH4" s="387"/>
      <c r="AI4" s="687">
        <f>D4-U4</f>
        <v>6.4031868806607058E-3</v>
      </c>
      <c r="AJ4" s="712">
        <f>J4-V4</f>
        <v>6.4031868806607058E-3</v>
      </c>
      <c r="AK4" s="108">
        <f>P4-Y4</f>
        <v>6.4031868806607058E-3</v>
      </c>
      <c r="AL4" s="770">
        <f>M4-X4</f>
        <v>6.4031868806607058E-3</v>
      </c>
      <c r="AM4" s="1089"/>
      <c r="AN4" s="272" t="s">
        <v>200</v>
      </c>
      <c r="AO4" s="270" t="s">
        <v>199</v>
      </c>
      <c r="AP4" s="1053" t="s">
        <v>195</v>
      </c>
      <c r="AQ4" s="1103" t="s">
        <v>308</v>
      </c>
      <c r="AR4" s="1085" t="s">
        <v>232</v>
      </c>
      <c r="AS4" s="1085" t="s">
        <v>196</v>
      </c>
      <c r="AT4" s="1086" t="s">
        <v>197</v>
      </c>
      <c r="AU4" s="1073" t="s">
        <v>76</v>
      </c>
      <c r="AV4" s="1043" t="s">
        <v>231</v>
      </c>
      <c r="AX4" s="31"/>
      <c r="AY4" s="396" t="s">
        <v>296</v>
      </c>
      <c r="AZ4" s="389">
        <f>'(Cullen 2010 Fixed)'!M21</f>
        <v>0.10141562500000001</v>
      </c>
      <c r="BA4" s="388" t="s">
        <v>286</v>
      </c>
      <c r="BB4" s="389">
        <f>'(Cullen 2010 Fixed)'!M22</f>
        <v>0.102325</v>
      </c>
      <c r="BC4" s="390" t="s">
        <v>287</v>
      </c>
      <c r="BD4" s="397"/>
      <c r="BE4" s="31" t="s">
        <v>293</v>
      </c>
      <c r="BF4" s="31"/>
      <c r="BG4" s="31"/>
      <c r="BH4" s="31"/>
      <c r="BI4" s="31"/>
      <c r="BJ4" s="31"/>
      <c r="BK4" s="31"/>
      <c r="BL4" s="31"/>
      <c r="BN4" s="31"/>
      <c r="BO4" s="396" t="s">
        <v>296</v>
      </c>
      <c r="BP4" s="389">
        <f>'(Cullen 2010 Mobile)'!K18</f>
        <v>0.12015694444444443</v>
      </c>
      <c r="BQ4" s="388" t="s">
        <v>286</v>
      </c>
      <c r="BR4" s="389">
        <f>'(Cullen 2010 Mobile)'!K19</f>
        <v>0.1201</v>
      </c>
      <c r="BS4" s="390" t="s">
        <v>287</v>
      </c>
      <c r="BT4" s="397"/>
      <c r="BU4" s="31" t="s">
        <v>293</v>
      </c>
      <c r="BV4" s="31"/>
      <c r="BW4" s="31"/>
      <c r="BX4" s="31"/>
      <c r="BY4" s="31"/>
      <c r="BZ4" s="31"/>
      <c r="CA4" s="31"/>
      <c r="CB4" s="31"/>
      <c r="CD4" s="31"/>
      <c r="CE4" s="388" t="s">
        <v>296</v>
      </c>
      <c r="CF4" s="389">
        <f>'(Cullen 2010 Mobile)'!R27</f>
        <v>2.0011111111111105E-2</v>
      </c>
      <c r="CG4" s="388" t="s">
        <v>286</v>
      </c>
      <c r="CH4" s="389">
        <f>'(Cullen 2010 Mobile)'!R28</f>
        <v>1.8149999999999993E-2</v>
      </c>
      <c r="CI4" s="390" t="s">
        <v>287</v>
      </c>
      <c r="CJ4" s="397"/>
      <c r="CK4" s="31" t="s">
        <v>293</v>
      </c>
      <c r="CL4" s="31"/>
      <c r="CM4" s="31"/>
      <c r="CN4" s="31"/>
      <c r="CO4" s="31"/>
      <c r="CP4" s="31"/>
      <c r="CQ4" s="31"/>
      <c r="CR4" s="31"/>
    </row>
    <row r="5" spans="1:96">
      <c r="A5" s="216" t="s">
        <v>8</v>
      </c>
      <c r="B5" s="1799" t="s">
        <v>362</v>
      </c>
      <c r="C5" s="1800"/>
      <c r="D5" s="246">
        <f>$J$5</f>
        <v>5.3854791237840642E-2</v>
      </c>
      <c r="E5" s="247">
        <f>$K$5</f>
        <v>5.135479123784064E-2</v>
      </c>
      <c r="F5" s="248">
        <f>$L$5</f>
        <v>5.6354791237840644E-2</v>
      </c>
      <c r="G5" s="246">
        <f>$J$5</f>
        <v>5.3854791237840642E-2</v>
      </c>
      <c r="H5" s="247">
        <f>$K$5</f>
        <v>5.135479123784064E-2</v>
      </c>
      <c r="I5" s="248">
        <f>$L$5</f>
        <v>5.6354791237840644E-2</v>
      </c>
      <c r="J5" s="127">
        <f>D57/100</f>
        <v>5.3854791237840642E-2</v>
      </c>
      <c r="K5" s="684">
        <f>J5-0.25%</f>
        <v>5.135479123784064E-2</v>
      </c>
      <c r="L5" s="684">
        <f>J5+0.25%</f>
        <v>5.6354791237840644E-2</v>
      </c>
      <c r="M5" s="246">
        <f>$J$5</f>
        <v>5.3854791237840642E-2</v>
      </c>
      <c r="N5" s="247">
        <f>$K$5</f>
        <v>5.135479123784064E-2</v>
      </c>
      <c r="O5" s="248">
        <f>$L$5</f>
        <v>5.6354791237840644E-2</v>
      </c>
      <c r="P5" s="246">
        <f>$J$5</f>
        <v>5.3854791237840642E-2</v>
      </c>
      <c r="Q5" s="247">
        <f>$K$5</f>
        <v>5.135479123784064E-2</v>
      </c>
      <c r="R5" s="248">
        <f>$L$5</f>
        <v>5.6354791237840644E-2</v>
      </c>
      <c r="S5" s="1154"/>
      <c r="T5" s="47"/>
      <c r="U5" s="59">
        <v>5.2499999999999998E-2</v>
      </c>
      <c r="V5" s="44">
        <f>$U$5</f>
        <v>5.2499999999999998E-2</v>
      </c>
      <c r="W5" s="44">
        <f>$U$5</f>
        <v>5.2499999999999998E-2</v>
      </c>
      <c r="X5" s="44">
        <f>$U$5</f>
        <v>5.2499999999999998E-2</v>
      </c>
      <c r="Y5" s="45">
        <f>$U$5</f>
        <v>5.2499999999999998E-2</v>
      </c>
      <c r="Z5" s="311" t="s">
        <v>132</v>
      </c>
      <c r="AA5" s="419"/>
      <c r="AB5" s="59">
        <v>5.5E-2</v>
      </c>
      <c r="AC5" s="44">
        <f>$AB$5</f>
        <v>5.5E-2</v>
      </c>
      <c r="AD5" s="44">
        <f>$AB$5</f>
        <v>5.5E-2</v>
      </c>
      <c r="AE5" s="44">
        <f>$AB$5</f>
        <v>5.5E-2</v>
      </c>
      <c r="AF5" s="45">
        <f>$AB$5</f>
        <v>5.5E-2</v>
      </c>
      <c r="AG5" s="47"/>
      <c r="AH5" s="387"/>
      <c r="AI5" s="687">
        <f>D5-U5</f>
        <v>1.354791237840644E-3</v>
      </c>
      <c r="AJ5" s="712">
        <f>J5-V5</f>
        <v>1.354791237840644E-3</v>
      </c>
      <c r="AK5" s="108">
        <f>P5-Y5</f>
        <v>1.354791237840644E-3</v>
      </c>
      <c r="AL5" s="770">
        <f>M5-X5</f>
        <v>1.354791237840644E-3</v>
      </c>
      <c r="AM5" s="1089"/>
      <c r="AN5" s="266" t="s">
        <v>201</v>
      </c>
      <c r="AO5" s="266" t="s">
        <v>227</v>
      </c>
      <c r="AP5" s="1097">
        <v>41334</v>
      </c>
      <c r="AQ5" s="1104">
        <v>7.0699999999999999E-2</v>
      </c>
      <c r="AR5" s="1080" t="s">
        <v>438</v>
      </c>
      <c r="AS5" s="1076" t="s">
        <v>198</v>
      </c>
      <c r="AT5" s="1076" t="s">
        <v>198</v>
      </c>
      <c r="AU5" s="1054">
        <v>7.0699999999999999E-2</v>
      </c>
      <c r="AV5" s="1044">
        <v>41275</v>
      </c>
      <c r="AX5" s="48"/>
      <c r="AY5" s="391" t="s">
        <v>339</v>
      </c>
      <c r="AZ5" s="395">
        <f>$AQ$7-AZ4</f>
        <v>-5.2938392008271828E-3</v>
      </c>
      <c r="BA5" s="393" t="s">
        <v>340</v>
      </c>
      <c r="BB5" s="392">
        <f>$AQ$7-BB4</f>
        <v>-6.2032142008271729E-3</v>
      </c>
      <c r="BC5" s="1198" t="s">
        <v>467</v>
      </c>
      <c r="BD5" s="394"/>
      <c r="BE5" s="201"/>
      <c r="BF5" s="201"/>
      <c r="BG5" s="201"/>
      <c r="BH5" s="201"/>
      <c r="BI5" s="201"/>
      <c r="BJ5" s="201"/>
      <c r="BK5" s="201"/>
      <c r="BL5" s="201"/>
      <c r="BM5" s="1142"/>
      <c r="BN5" s="48"/>
      <c r="BO5" s="391" t="s">
        <v>339</v>
      </c>
      <c r="BP5" s="395">
        <f>$AU$7-BP4</f>
        <v>-1.9665227103951924E-2</v>
      </c>
      <c r="BQ5" s="393" t="s">
        <v>340</v>
      </c>
      <c r="BR5" s="392">
        <f>$AU$7-BR4</f>
        <v>-1.9608282659507495E-2</v>
      </c>
      <c r="BS5" s="1198" t="s">
        <v>467</v>
      </c>
      <c r="BT5" s="394"/>
      <c r="BU5" s="201"/>
      <c r="BV5" s="48"/>
      <c r="BW5" s="48"/>
      <c r="BX5" s="48"/>
      <c r="BY5" s="48"/>
      <c r="BZ5" s="48"/>
      <c r="CA5" s="48"/>
      <c r="CB5" s="48"/>
      <c r="CD5" s="48"/>
      <c r="CE5" s="393" t="s">
        <v>339</v>
      </c>
      <c r="CF5" s="395">
        <f>$Y$39-CF4</f>
        <v>-1.5641179569791427E-2</v>
      </c>
      <c r="CG5" s="393" t="s">
        <v>340</v>
      </c>
      <c r="CH5" s="392">
        <f>$Y$39-CH4</f>
        <v>-1.3780068458680315E-2</v>
      </c>
      <c r="CI5" s="1198" t="s">
        <v>467</v>
      </c>
      <c r="CJ5" s="394"/>
      <c r="CK5" s="41"/>
      <c r="CL5" s="48"/>
      <c r="CM5" s="48"/>
      <c r="CN5" s="48"/>
      <c r="CO5" s="48"/>
      <c r="CP5" s="48"/>
      <c r="CQ5" s="48"/>
      <c r="CR5" s="48"/>
    </row>
    <row r="6" spans="1:96" s="1006" customFormat="1">
      <c r="A6" s="217"/>
      <c r="B6" s="1822" t="s">
        <v>260</v>
      </c>
      <c r="C6" s="1823"/>
      <c r="D6" s="43">
        <f>D3+D4+D5</f>
        <v>8.6561133437739954E-2</v>
      </c>
      <c r="E6" s="44">
        <f>E3+E4+E5</f>
        <v>7.9352493658172887E-2</v>
      </c>
      <c r="F6" s="45">
        <f>F3+F4+F5</f>
        <v>9.8813384898272877E-2</v>
      </c>
      <c r="G6" s="43">
        <f t="shared" ref="G6:R6" si="0">G3+G4+G5</f>
        <v>8.6561133437739954E-2</v>
      </c>
      <c r="H6" s="44">
        <f t="shared" si="0"/>
        <v>7.9352493658172887E-2</v>
      </c>
      <c r="I6" s="45">
        <f t="shared" si="0"/>
        <v>9.8813384898272877E-2</v>
      </c>
      <c r="J6" s="32">
        <f t="shared" si="0"/>
        <v>8.6561133437739954E-2</v>
      </c>
      <c r="K6" s="44">
        <f t="shared" si="0"/>
        <v>7.9352493658172887E-2</v>
      </c>
      <c r="L6" s="45">
        <f t="shared" si="0"/>
        <v>9.8813384898272877E-2</v>
      </c>
      <c r="M6" s="43">
        <f t="shared" si="0"/>
        <v>8.6561133437739954E-2</v>
      </c>
      <c r="N6" s="44">
        <f t="shared" si="0"/>
        <v>7.9352493658172887E-2</v>
      </c>
      <c r="O6" s="45">
        <f t="shared" si="0"/>
        <v>9.8813384898272877E-2</v>
      </c>
      <c r="P6" s="43">
        <f t="shared" si="0"/>
        <v>8.6561133437739954E-2</v>
      </c>
      <c r="Q6" s="44">
        <f t="shared" si="0"/>
        <v>7.9352493658172887E-2</v>
      </c>
      <c r="R6" s="45">
        <f t="shared" si="0"/>
        <v>9.8813384898272877E-2</v>
      </c>
      <c r="S6" s="1154"/>
      <c r="T6" s="61"/>
      <c r="U6" s="32">
        <f>U3+U5</f>
        <v>9.2499999999999999E-2</v>
      </c>
      <c r="V6" s="44">
        <f>V3+V5</f>
        <v>9.2499999999999999E-2</v>
      </c>
      <c r="W6" s="44">
        <f>W3+W5</f>
        <v>9.2499999999999999E-2</v>
      </c>
      <c r="X6" s="44">
        <f>X3+X5</f>
        <v>9.2499999999999999E-2</v>
      </c>
      <c r="Y6" s="44">
        <f>Y3+Y5</f>
        <v>9.2499999999999999E-2</v>
      </c>
      <c r="Z6" s="368" t="s">
        <v>261</v>
      </c>
      <c r="AA6" s="217"/>
      <c r="AB6" s="32">
        <f>AB3+AB5</f>
        <v>9.4E-2</v>
      </c>
      <c r="AC6" s="44"/>
      <c r="AD6" s="44"/>
      <c r="AE6" s="44"/>
      <c r="AF6" s="45"/>
      <c r="AG6" s="61"/>
      <c r="AH6" s="83"/>
      <c r="AI6" s="687">
        <f>D6-U6</f>
        <v>-5.9388665622600451E-3</v>
      </c>
      <c r="AJ6" s="40">
        <f>J6-V6</f>
        <v>-5.9388665622600451E-3</v>
      </c>
      <c r="AK6" s="108">
        <f>P6-Y6</f>
        <v>-5.9388665622600451E-3</v>
      </c>
      <c r="AL6" s="770">
        <f>M6-X6</f>
        <v>-5.9388665622600451E-3</v>
      </c>
      <c r="AM6" s="1087"/>
      <c r="AN6" s="268" t="s">
        <v>194</v>
      </c>
      <c r="AO6" s="268" t="s">
        <v>424</v>
      </c>
      <c r="AP6" s="1098">
        <v>41547</v>
      </c>
      <c r="AQ6" s="1105">
        <v>0.1053</v>
      </c>
      <c r="AR6" s="1079" t="s">
        <v>198</v>
      </c>
      <c r="AS6" s="1076" t="s">
        <v>198</v>
      </c>
      <c r="AT6" s="1076" t="s">
        <v>198</v>
      </c>
      <c r="AU6" s="1055">
        <v>0.1137</v>
      </c>
      <c r="AV6" s="1045"/>
      <c r="AX6" s="60"/>
      <c r="AY6" s="60"/>
      <c r="AZ6" s="60"/>
      <c r="BA6" s="60"/>
      <c r="BB6" s="60"/>
      <c r="BC6" s="60"/>
      <c r="BD6" s="60"/>
      <c r="BE6" s="282"/>
      <c r="BF6" s="282"/>
      <c r="BG6" s="282"/>
      <c r="BH6" s="282"/>
      <c r="BI6" s="282"/>
      <c r="BJ6" s="282"/>
      <c r="BK6" s="282"/>
      <c r="BL6" s="282"/>
      <c r="BM6" s="1142"/>
      <c r="BN6" s="60"/>
      <c r="BO6" s="282"/>
      <c r="BP6" s="60"/>
      <c r="BQ6" s="60"/>
      <c r="BR6" s="60"/>
      <c r="BS6" s="60"/>
      <c r="BT6" s="60"/>
      <c r="BU6" s="60"/>
      <c r="BV6" s="60"/>
      <c r="BW6" s="60"/>
      <c r="BX6" s="60"/>
      <c r="BY6" s="60"/>
      <c r="BZ6" s="60"/>
      <c r="CA6" s="60"/>
      <c r="CB6" s="60"/>
      <c r="CD6" s="60"/>
      <c r="CE6" s="60"/>
      <c r="CF6" s="60"/>
      <c r="CG6" s="60"/>
      <c r="CH6" s="60"/>
      <c r="CI6" s="31" t="s">
        <v>299</v>
      </c>
      <c r="CJ6" s="40">
        <f>'(Cullen 2010 Mobile)'!R25</f>
        <v>1.0399999999999993E-2</v>
      </c>
      <c r="CK6" s="60"/>
      <c r="CL6" s="60"/>
      <c r="CM6" s="60"/>
      <c r="CN6" s="60"/>
      <c r="CO6" s="60"/>
      <c r="CP6" s="60"/>
      <c r="CQ6" s="60"/>
      <c r="CR6" s="60"/>
    </row>
    <row r="7" spans="1:96">
      <c r="A7" s="216" t="s">
        <v>9</v>
      </c>
      <c r="B7" s="1799" t="s">
        <v>10</v>
      </c>
      <c r="C7" s="1800"/>
      <c r="D7" s="64">
        <f t="shared" ref="D7:I7" si="1">$J$7</f>
        <v>0.33989999999999998</v>
      </c>
      <c r="E7" s="63">
        <f t="shared" si="1"/>
        <v>0.33989999999999998</v>
      </c>
      <c r="F7" s="65">
        <f t="shared" si="1"/>
        <v>0.33989999999999998</v>
      </c>
      <c r="G7" s="64">
        <f t="shared" si="1"/>
        <v>0.33989999999999998</v>
      </c>
      <c r="H7" s="63">
        <f t="shared" si="1"/>
        <v>0.33989999999999998</v>
      </c>
      <c r="I7" s="65">
        <f t="shared" si="1"/>
        <v>0.33989999999999998</v>
      </c>
      <c r="J7" s="62">
        <v>0.33989999999999998</v>
      </c>
      <c r="K7" s="63">
        <f t="shared" ref="K7:R7" si="2">$J$7</f>
        <v>0.33989999999999998</v>
      </c>
      <c r="L7" s="65">
        <f t="shared" si="2"/>
        <v>0.33989999999999998</v>
      </c>
      <c r="M7" s="64">
        <f t="shared" si="2"/>
        <v>0.33989999999999998</v>
      </c>
      <c r="N7" s="63">
        <f t="shared" si="2"/>
        <v>0.33989999999999998</v>
      </c>
      <c r="O7" s="65">
        <f t="shared" si="2"/>
        <v>0.33989999999999998</v>
      </c>
      <c r="P7" s="64">
        <f t="shared" si="2"/>
        <v>0.33989999999999998</v>
      </c>
      <c r="Q7" s="63">
        <f t="shared" si="2"/>
        <v>0.33989999999999998</v>
      </c>
      <c r="R7" s="65">
        <f t="shared" si="2"/>
        <v>0.33989999999999998</v>
      </c>
      <c r="S7" s="1153"/>
      <c r="T7" s="47"/>
      <c r="U7" s="62">
        <v>0.33989999999999998</v>
      </c>
      <c r="V7" s="44">
        <f>$U$7</f>
        <v>0.33989999999999998</v>
      </c>
      <c r="W7" s="44">
        <f>$U$7</f>
        <v>0.33989999999999998</v>
      </c>
      <c r="X7" s="44">
        <f>$U$7</f>
        <v>0.33989999999999998</v>
      </c>
      <c r="Y7" s="45">
        <f>$U$7</f>
        <v>0.33989999999999998</v>
      </c>
      <c r="Z7" s="62" t="s">
        <v>10</v>
      </c>
      <c r="AA7" s="419"/>
      <c r="AB7" s="42">
        <v>0.33989999999999998</v>
      </c>
      <c r="AC7" s="44">
        <f>$AB$7</f>
        <v>0.33989999999999998</v>
      </c>
      <c r="AD7" s="44">
        <f>$AB$7</f>
        <v>0.33989999999999998</v>
      </c>
      <c r="AE7" s="44">
        <f>$AB$7</f>
        <v>0.33989999999999998</v>
      </c>
      <c r="AF7" s="45">
        <f>$AB$7</f>
        <v>0.33989999999999998</v>
      </c>
      <c r="AG7" s="47"/>
      <c r="AH7" s="354"/>
      <c r="AI7" s="64"/>
      <c r="AJ7" s="108"/>
      <c r="AK7" s="108"/>
      <c r="AL7" s="354"/>
      <c r="AM7" s="1087"/>
      <c r="AN7" s="274" t="s">
        <v>202</v>
      </c>
      <c r="AO7" s="274" t="s">
        <v>203</v>
      </c>
      <c r="AP7" s="1099">
        <v>40302</v>
      </c>
      <c r="AQ7" s="1106">
        <f>V38</f>
        <v>9.6121785799172826E-2</v>
      </c>
      <c r="AR7" s="1081" t="s">
        <v>439</v>
      </c>
      <c r="AS7" s="1081" t="s">
        <v>230</v>
      </c>
      <c r="AT7" s="1083" t="s">
        <v>198</v>
      </c>
      <c r="AU7" s="1056">
        <f>Y38</f>
        <v>0.1004917173404925</v>
      </c>
      <c r="AV7" s="1045"/>
      <c r="AX7" s="48"/>
      <c r="AY7" s="48"/>
      <c r="AZ7" s="201"/>
      <c r="BA7" s="321"/>
      <c r="BB7" s="48"/>
      <c r="BC7" s="48"/>
      <c r="BD7" s="201"/>
      <c r="BE7" s="201"/>
      <c r="BF7" s="201"/>
      <c r="BG7" s="201"/>
      <c r="BH7" s="201"/>
      <c r="BI7" s="201"/>
      <c r="BJ7" s="201"/>
      <c r="BK7" s="201"/>
      <c r="BL7" s="201"/>
      <c r="BM7" s="1142"/>
      <c r="BN7" s="48"/>
      <c r="BO7" s="201"/>
      <c r="BP7" s="48"/>
      <c r="BQ7" s="48"/>
      <c r="BR7" s="48"/>
      <c r="BS7" s="48"/>
      <c r="BT7" s="48"/>
      <c r="BU7" s="48"/>
      <c r="BV7" s="48"/>
      <c r="BW7" s="48"/>
      <c r="BX7" s="48"/>
      <c r="BY7" s="48"/>
      <c r="BZ7" s="48"/>
      <c r="CA7" s="48"/>
      <c r="CB7" s="48"/>
      <c r="CD7" s="48"/>
      <c r="CE7" s="48"/>
      <c r="CF7" s="48"/>
      <c r="CG7" s="48"/>
      <c r="CH7" s="48"/>
      <c r="CI7" s="48"/>
      <c r="CJ7" s="48"/>
      <c r="CK7" s="48"/>
      <c r="CL7" s="48"/>
      <c r="CM7" s="48"/>
      <c r="CN7" s="48"/>
      <c r="CO7" s="48"/>
      <c r="CP7" s="48"/>
      <c r="CQ7" s="48"/>
      <c r="CR7" s="48"/>
    </row>
    <row r="8" spans="1:96" ht="13.15" customHeight="1">
      <c r="A8" s="216"/>
      <c r="B8" s="1838" t="s">
        <v>352</v>
      </c>
      <c r="C8" s="1839"/>
      <c r="D8" s="608">
        <f>HLOOKUP(D2,$E$66:$Q$67,2,FALSE)</f>
        <v>8</v>
      </c>
      <c r="E8" s="609">
        <f t="shared" ref="E8:R8" si="3">HLOOKUP(E2,$E$66:$Q$67,2,FALSE)</f>
        <v>8</v>
      </c>
      <c r="F8" s="638">
        <f t="shared" si="3"/>
        <v>8</v>
      </c>
      <c r="G8" s="608">
        <f>HLOOKUP(G2,$E$66:$Q$67,2,FALSE)</f>
        <v>8</v>
      </c>
      <c r="H8" s="609">
        <f t="shared" si="3"/>
        <v>8</v>
      </c>
      <c r="I8" s="638">
        <f t="shared" si="3"/>
        <v>8</v>
      </c>
      <c r="J8" s="608">
        <f>HLOOKUP(J2,$E$66:$Q$67,2,FALSE)</f>
        <v>8</v>
      </c>
      <c r="K8" s="609">
        <f t="shared" si="3"/>
        <v>8</v>
      </c>
      <c r="L8" s="638">
        <f t="shared" si="3"/>
        <v>8</v>
      </c>
      <c r="M8" s="608">
        <f>HLOOKUP(M2,$E$66:$Q$67,2,FALSE)</f>
        <v>8</v>
      </c>
      <c r="N8" s="609">
        <f t="shared" si="3"/>
        <v>8</v>
      </c>
      <c r="O8" s="638">
        <f t="shared" si="3"/>
        <v>8</v>
      </c>
      <c r="P8" s="608">
        <f>HLOOKUP(P2,$E$66:$Q$67,2,FALSE)</f>
        <v>8</v>
      </c>
      <c r="Q8" s="609">
        <f t="shared" si="3"/>
        <v>8</v>
      </c>
      <c r="R8" s="638">
        <f t="shared" si="3"/>
        <v>8</v>
      </c>
      <c r="S8" s="1155"/>
      <c r="T8" s="47"/>
      <c r="U8" s="608">
        <f>HLOOKUP(U2,$E$66:$Q$67,2,FALSE)</f>
        <v>8</v>
      </c>
      <c r="V8" s="609">
        <f>HLOOKUP(V2,$E$66:$Q$67,2,FALSE)</f>
        <v>8</v>
      </c>
      <c r="W8" s="609">
        <f>HLOOKUP(W2,$E$66:$Q$67,2,FALSE)</f>
        <v>8</v>
      </c>
      <c r="X8" s="609">
        <f>HLOOKUP(X2,$E$66:$Q$67,2,FALSE)</f>
        <v>8</v>
      </c>
      <c r="Y8" s="609">
        <f>HLOOKUP(Y2,$E$66:$Q$67,2,FALSE)</f>
        <v>8</v>
      </c>
      <c r="Z8" s="166"/>
      <c r="AA8" s="419"/>
      <c r="AB8" s="68"/>
      <c r="AC8" s="69"/>
      <c r="AD8" s="69"/>
      <c r="AE8" s="69"/>
      <c r="AF8" s="70"/>
      <c r="AG8" s="47"/>
      <c r="AH8" s="387"/>
      <c r="AI8" s="296"/>
      <c r="AJ8" s="351"/>
      <c r="AK8" s="351"/>
      <c r="AL8" s="352"/>
      <c r="AN8" s="275"/>
      <c r="AO8" s="275"/>
      <c r="AP8" s="1100" t="s">
        <v>229</v>
      </c>
      <c r="AQ8" s="1107">
        <f>V28</f>
        <v>9.8924829571277073E-2</v>
      </c>
      <c r="AR8" s="1082"/>
      <c r="AS8" s="1082"/>
      <c r="AT8" s="1082"/>
      <c r="AU8" s="1057">
        <f>Y28</f>
        <v>0.10294103166186941</v>
      </c>
      <c r="AV8" s="1046"/>
      <c r="AX8" s="201"/>
      <c r="AY8" s="48"/>
      <c r="AZ8" s="48"/>
      <c r="BA8" s="201"/>
      <c r="BB8" s="48"/>
      <c r="BC8" s="48"/>
      <c r="BD8" s="48"/>
      <c r="BE8" s="48"/>
      <c r="BF8" s="48"/>
      <c r="BG8" s="48"/>
      <c r="BH8" s="48"/>
      <c r="BI8" s="48"/>
      <c r="BJ8" s="48"/>
      <c r="BK8" s="48"/>
      <c r="BL8" s="48"/>
      <c r="BN8" s="201"/>
      <c r="BO8" s="201"/>
      <c r="BP8" s="48"/>
      <c r="BQ8" s="48"/>
      <c r="BR8" s="48"/>
      <c r="BS8" s="48"/>
      <c r="BT8" s="48"/>
      <c r="BU8" s="48"/>
      <c r="BV8" s="48"/>
      <c r="BW8" s="48"/>
      <c r="BX8" s="48"/>
      <c r="BY8" s="48"/>
      <c r="BZ8" s="48"/>
      <c r="CA8" s="48"/>
      <c r="CB8" s="48"/>
      <c r="CD8" s="48"/>
      <c r="CE8" s="48"/>
      <c r="CF8" s="48"/>
      <c r="CG8" s="48"/>
      <c r="CH8" s="48"/>
      <c r="CI8" s="48"/>
      <c r="CJ8" s="48"/>
      <c r="CK8" s="48"/>
      <c r="CL8" s="48"/>
      <c r="CM8" s="48"/>
      <c r="CN8" s="48"/>
      <c r="CO8" s="48"/>
      <c r="CP8" s="48"/>
      <c r="CQ8" s="48"/>
      <c r="CR8" s="48"/>
    </row>
    <row r="9" spans="1:96" s="1005" customFormat="1">
      <c r="A9" s="216"/>
      <c r="B9" s="1840"/>
      <c r="C9" s="1841"/>
      <c r="D9" s="745" t="s">
        <v>3</v>
      </c>
      <c r="E9" s="746"/>
      <c r="F9" s="747"/>
      <c r="G9" s="745" t="s">
        <v>137</v>
      </c>
      <c r="H9" s="746"/>
      <c r="I9" s="747"/>
      <c r="J9" s="799" t="s">
        <v>168</v>
      </c>
      <c r="K9" s="746"/>
      <c r="L9" s="747"/>
      <c r="M9" s="745" t="s">
        <v>2</v>
      </c>
      <c r="N9" s="746"/>
      <c r="O9" s="747"/>
      <c r="P9" s="799" t="s">
        <v>76</v>
      </c>
      <c r="Q9" s="746"/>
      <c r="R9" s="747"/>
      <c r="S9" s="1155"/>
      <c r="T9" s="73"/>
      <c r="U9" s="736" t="s">
        <v>3</v>
      </c>
      <c r="V9" s="801" t="s">
        <v>168</v>
      </c>
      <c r="W9" s="751" t="s">
        <v>1</v>
      </c>
      <c r="X9" s="751" t="s">
        <v>2</v>
      </c>
      <c r="Y9" s="801" t="s">
        <v>76</v>
      </c>
      <c r="Z9" s="74"/>
      <c r="AA9" s="216"/>
      <c r="AB9" s="249" t="s">
        <v>3</v>
      </c>
      <c r="AC9" s="250" t="s">
        <v>168</v>
      </c>
      <c r="AD9" s="249" t="s">
        <v>1</v>
      </c>
      <c r="AE9" s="249" t="s">
        <v>2</v>
      </c>
      <c r="AF9" s="250" t="s">
        <v>76</v>
      </c>
      <c r="AG9" s="73"/>
      <c r="AH9" s="387"/>
      <c r="AI9" s="736" t="s">
        <v>410</v>
      </c>
      <c r="AJ9" s="865" t="s">
        <v>380</v>
      </c>
      <c r="AK9" s="865" t="s">
        <v>381</v>
      </c>
      <c r="AL9" s="736" t="s">
        <v>409</v>
      </c>
      <c r="AM9" s="998"/>
      <c r="AN9" s="273" t="s">
        <v>204</v>
      </c>
      <c r="AO9" s="273" t="s">
        <v>205</v>
      </c>
      <c r="AP9" s="1101">
        <v>41607</v>
      </c>
      <c r="AQ9" s="1108">
        <v>4.7E-2</v>
      </c>
      <c r="AR9" s="1077" t="s">
        <v>230</v>
      </c>
      <c r="AS9" s="1077" t="s">
        <v>230</v>
      </c>
      <c r="AT9" s="1077" t="s">
        <v>230</v>
      </c>
      <c r="AU9" s="1058">
        <v>4.4699999999999997E-2</v>
      </c>
      <c r="AV9" s="1044">
        <v>41563</v>
      </c>
      <c r="AX9" s="414"/>
      <c r="AY9" s="41"/>
      <c r="AZ9" s="41"/>
      <c r="BA9" s="41"/>
      <c r="BB9" s="41"/>
      <c r="BC9" s="41"/>
      <c r="BD9" s="41"/>
      <c r="BE9" s="41"/>
      <c r="BF9" s="41"/>
      <c r="BG9" s="41"/>
      <c r="BH9" s="41"/>
      <c r="BI9" s="41"/>
      <c r="BJ9" s="41"/>
      <c r="BK9" s="41"/>
      <c r="BL9" s="41"/>
      <c r="BN9" s="414"/>
      <c r="BO9" s="41"/>
      <c r="BP9" s="41"/>
      <c r="BQ9" s="41"/>
      <c r="BR9" s="41"/>
      <c r="BS9" s="41"/>
      <c r="BT9" s="41"/>
      <c r="BU9" s="41"/>
      <c r="BV9" s="41"/>
      <c r="BW9" s="41"/>
      <c r="BX9" s="41"/>
      <c r="BY9" s="41"/>
      <c r="BZ9" s="41"/>
      <c r="CA9" s="41"/>
      <c r="CB9" s="41"/>
      <c r="CD9" s="414"/>
      <c r="CE9" s="41"/>
      <c r="CF9" s="41"/>
      <c r="CG9" s="41"/>
      <c r="CH9" s="41"/>
      <c r="CI9" s="41"/>
      <c r="CJ9" s="41"/>
      <c r="CK9" s="41"/>
      <c r="CL9" s="543" t="s">
        <v>456</v>
      </c>
      <c r="CM9" s="543"/>
      <c r="CN9" s="543"/>
      <c r="CO9" s="543"/>
      <c r="CP9" s="543"/>
      <c r="CQ9" s="543"/>
      <c r="CR9" s="543"/>
    </row>
    <row r="10" spans="1:96" s="1005" customFormat="1" ht="12.75" customHeight="1">
      <c r="A10" s="215" t="s">
        <v>178</v>
      </c>
      <c r="B10" s="737" t="s">
        <v>280</v>
      </c>
      <c r="C10" s="672" t="s">
        <v>176</v>
      </c>
      <c r="D10" s="386"/>
      <c r="E10" s="676" t="s">
        <v>135</v>
      </c>
      <c r="F10" s="677" t="s">
        <v>136</v>
      </c>
      <c r="G10" s="673"/>
      <c r="H10" s="676" t="s">
        <v>135</v>
      </c>
      <c r="I10" s="677" t="s">
        <v>136</v>
      </c>
      <c r="J10" s="673"/>
      <c r="K10" s="676" t="s">
        <v>135</v>
      </c>
      <c r="L10" s="677" t="s">
        <v>136</v>
      </c>
      <c r="M10" s="673"/>
      <c r="N10" s="676" t="s">
        <v>135</v>
      </c>
      <c r="O10" s="677" t="s">
        <v>136</v>
      </c>
      <c r="P10" s="673"/>
      <c r="Q10" s="676" t="s">
        <v>135</v>
      </c>
      <c r="R10" s="677" t="s">
        <v>136</v>
      </c>
      <c r="S10" s="1156">
        <f>IF(C10="Yes",1,0)</f>
        <v>1</v>
      </c>
      <c r="T10" s="606"/>
      <c r="U10" s="369"/>
      <c r="V10" s="130"/>
      <c r="W10" s="370"/>
      <c r="X10" s="370"/>
      <c r="Y10" s="130"/>
      <c r="Z10" s="387" t="s">
        <v>263</v>
      </c>
      <c r="AA10" s="215"/>
      <c r="AB10" s="369"/>
      <c r="AC10" s="130"/>
      <c r="AD10" s="370"/>
      <c r="AE10" s="370"/>
      <c r="AF10" s="804"/>
      <c r="AG10" s="49"/>
      <c r="AH10" s="387"/>
      <c r="AI10" s="1809" t="str">
        <f>IF($C$10="yes", "OL","")</f>
        <v>OL</v>
      </c>
      <c r="AJ10" s="1810"/>
      <c r="AK10" s="1810"/>
      <c r="AL10" s="1811"/>
      <c r="AM10" s="1417"/>
      <c r="AN10" s="267" t="s">
        <v>206</v>
      </c>
      <c r="AO10" s="267" t="s">
        <v>207</v>
      </c>
      <c r="AP10" s="1101">
        <v>41592</v>
      </c>
      <c r="AQ10" s="1109">
        <v>0.1091</v>
      </c>
      <c r="AR10" s="1077" t="s">
        <v>230</v>
      </c>
      <c r="AS10" s="1052">
        <v>0.15720000000000001</v>
      </c>
      <c r="AT10" s="1078" t="s">
        <v>233</v>
      </c>
      <c r="AU10" s="1059" t="s">
        <v>425</v>
      </c>
      <c r="AV10" s="1047"/>
      <c r="AX10" s="31"/>
      <c r="AY10" s="31"/>
      <c r="AZ10" s="31"/>
      <c r="BA10" s="31"/>
      <c r="BB10" s="31"/>
      <c r="BC10" s="31"/>
      <c r="BD10" s="31"/>
      <c r="BE10" s="31"/>
      <c r="BF10" s="31"/>
      <c r="BG10" s="31"/>
      <c r="BH10" s="31"/>
      <c r="BI10" s="31"/>
      <c r="BJ10" s="31"/>
      <c r="BK10" s="31"/>
      <c r="BL10" s="31"/>
      <c r="BN10" s="31"/>
      <c r="BO10" s="282"/>
      <c r="BP10" s="31"/>
      <c r="BQ10" s="31"/>
      <c r="BR10" s="31"/>
      <c r="BS10" s="31"/>
      <c r="BT10" s="31"/>
      <c r="BU10" s="31"/>
      <c r="BV10" s="31"/>
      <c r="BW10" s="31"/>
      <c r="BX10" s="31"/>
      <c r="BY10" s="31"/>
      <c r="BZ10" s="31"/>
      <c r="CA10" s="31"/>
      <c r="CB10" s="31"/>
      <c r="CD10" s="31"/>
      <c r="CE10" s="31"/>
      <c r="CF10" s="31"/>
      <c r="CG10" s="31"/>
      <c r="CH10" s="31"/>
      <c r="CI10" s="31"/>
      <c r="CJ10" s="31"/>
      <c r="CK10" s="31"/>
      <c r="CL10" s="1831" t="s">
        <v>621</v>
      </c>
      <c r="CM10" s="1831"/>
      <c r="CN10" s="1831"/>
      <c r="CO10" s="1831"/>
      <c r="CP10" s="1831"/>
      <c r="CQ10" s="1831"/>
      <c r="CR10" s="1831"/>
    </row>
    <row r="11" spans="1:96">
      <c r="A11" s="216" t="s">
        <v>347</v>
      </c>
      <c r="B11" s="1799" t="s">
        <v>254</v>
      </c>
      <c r="C11" s="1800"/>
      <c r="D11" s="76">
        <f t="shared" ref="D11:R11" si="4">$S$10*D84+(1-$S$10)*D85</f>
        <v>0.42</v>
      </c>
      <c r="E11" s="678">
        <f t="shared" si="4"/>
        <v>0.36</v>
      </c>
      <c r="F11" s="678">
        <f t="shared" si="4"/>
        <v>0.45</v>
      </c>
      <c r="G11" s="76">
        <f t="shared" si="4"/>
        <v>0.42</v>
      </c>
      <c r="H11" s="678">
        <f t="shared" si="4"/>
        <v>0.39</v>
      </c>
      <c r="I11" s="678">
        <f t="shared" si="4"/>
        <v>0.44</v>
      </c>
      <c r="J11" s="77">
        <f t="shared" si="4"/>
        <v>0.42</v>
      </c>
      <c r="K11" s="678">
        <f t="shared" si="4"/>
        <v>0.36</v>
      </c>
      <c r="L11" s="678">
        <f t="shared" si="4"/>
        <v>0.45</v>
      </c>
      <c r="M11" s="76">
        <f t="shared" si="4"/>
        <v>0.42</v>
      </c>
      <c r="N11" s="678">
        <f t="shared" si="4"/>
        <v>0.36</v>
      </c>
      <c r="O11" s="678">
        <f t="shared" si="4"/>
        <v>0.45</v>
      </c>
      <c r="P11" s="77">
        <f t="shared" si="4"/>
        <v>0.42</v>
      </c>
      <c r="Q11" s="678">
        <f t="shared" si="4"/>
        <v>0.36</v>
      </c>
      <c r="R11" s="678">
        <f t="shared" si="4"/>
        <v>0.45</v>
      </c>
      <c r="S11" s="1155"/>
      <c r="T11" s="73"/>
      <c r="U11" s="78">
        <v>0.32</v>
      </c>
      <c r="V11" s="77">
        <v>0.4</v>
      </c>
      <c r="W11" s="78">
        <v>0.25</v>
      </c>
      <c r="X11" s="78">
        <v>0.25</v>
      </c>
      <c r="Y11" s="77">
        <v>0.25</v>
      </c>
      <c r="Z11" s="310" t="s">
        <v>172</v>
      </c>
      <c r="AA11" s="419"/>
      <c r="AB11" s="78">
        <v>0.35</v>
      </c>
      <c r="AC11" s="78">
        <v>0.45</v>
      </c>
      <c r="AD11" s="78">
        <v>0.25</v>
      </c>
      <c r="AE11" s="78">
        <v>0.25</v>
      </c>
      <c r="AF11" s="78">
        <v>0.25</v>
      </c>
      <c r="AG11" s="73"/>
      <c r="AH11" s="313"/>
      <c r="AI11" s="689">
        <f>D11-U11</f>
        <v>9.9999999999999978E-2</v>
      </c>
      <c r="AJ11" s="716">
        <f>J11-V11</f>
        <v>1.9999999999999962E-2</v>
      </c>
      <c r="AK11" s="716">
        <f>P11-Y11</f>
        <v>0.16999999999999998</v>
      </c>
      <c r="AL11" s="313">
        <f>M11-X11</f>
        <v>0.16999999999999998</v>
      </c>
      <c r="AM11" s="1418"/>
      <c r="AN11" s="266" t="s">
        <v>208</v>
      </c>
      <c r="AO11" s="266" t="s">
        <v>209</v>
      </c>
      <c r="AP11" s="1097">
        <v>41761</v>
      </c>
      <c r="AQ11" s="1110" t="s">
        <v>428</v>
      </c>
      <c r="AR11" s="1080" t="s">
        <v>438</v>
      </c>
      <c r="AS11" s="279" t="s">
        <v>430</v>
      </c>
      <c r="AT11" s="1076" t="s">
        <v>198</v>
      </c>
      <c r="AU11" s="1054" t="s">
        <v>429</v>
      </c>
      <c r="AV11" s="1048"/>
      <c r="AX11" s="48"/>
      <c r="AY11" s="48"/>
      <c r="AZ11" s="48"/>
      <c r="BA11" s="48"/>
      <c r="BB11" s="48"/>
      <c r="BC11" s="48"/>
      <c r="BD11" s="48"/>
      <c r="BE11" s="48"/>
      <c r="BF11" s="48"/>
      <c r="BG11" s="48"/>
      <c r="BH11" s="48"/>
      <c r="BI11" s="48"/>
      <c r="BJ11" s="48"/>
      <c r="BK11" s="48"/>
      <c r="BL11" s="48"/>
      <c r="BN11" s="48"/>
      <c r="BO11" s="201"/>
      <c r="BP11" s="48"/>
      <c r="BQ11" s="48"/>
      <c r="BR11" s="48"/>
      <c r="BS11" s="48"/>
      <c r="BT11" s="48"/>
      <c r="BU11" s="48"/>
      <c r="BV11" s="48"/>
      <c r="BW11" s="48"/>
      <c r="BX11" s="48"/>
      <c r="BY11" s="48"/>
      <c r="BZ11" s="48"/>
      <c r="CA11" s="48"/>
      <c r="CB11" s="48"/>
      <c r="CD11" s="48"/>
      <c r="CE11" s="48"/>
      <c r="CF11" s="48"/>
      <c r="CG11" s="48"/>
      <c r="CH11" s="48"/>
      <c r="CI11" s="48"/>
      <c r="CJ11" s="48"/>
      <c r="CK11" s="48"/>
      <c r="CL11" s="1831"/>
      <c r="CM11" s="1831"/>
      <c r="CN11" s="1831"/>
      <c r="CO11" s="1831"/>
      <c r="CP11" s="1831"/>
      <c r="CQ11" s="1831"/>
      <c r="CR11" s="1831"/>
    </row>
    <row r="12" spans="1:96">
      <c r="A12" s="215"/>
      <c r="B12" s="1842" t="s">
        <v>256</v>
      </c>
      <c r="C12" s="1843"/>
      <c r="D12" s="725">
        <f t="shared" ref="D12:R12" si="5">D11/(1-D11)</f>
        <v>0.72413793103448265</v>
      </c>
      <c r="E12" s="726">
        <f t="shared" si="5"/>
        <v>0.5625</v>
      </c>
      <c r="F12" s="727">
        <f t="shared" si="5"/>
        <v>0.81818181818181812</v>
      </c>
      <c r="G12" s="725">
        <f t="shared" si="5"/>
        <v>0.72413793103448265</v>
      </c>
      <c r="H12" s="726">
        <f t="shared" si="5"/>
        <v>0.63934426229508201</v>
      </c>
      <c r="I12" s="727">
        <f t="shared" si="5"/>
        <v>0.7857142857142857</v>
      </c>
      <c r="J12" s="725">
        <f t="shared" si="5"/>
        <v>0.72413793103448265</v>
      </c>
      <c r="K12" s="726">
        <f t="shared" si="5"/>
        <v>0.5625</v>
      </c>
      <c r="L12" s="727">
        <f t="shared" si="5"/>
        <v>0.81818181818181812</v>
      </c>
      <c r="M12" s="725">
        <f t="shared" si="5"/>
        <v>0.72413793103448265</v>
      </c>
      <c r="N12" s="726">
        <f t="shared" si="5"/>
        <v>0.5625</v>
      </c>
      <c r="O12" s="727">
        <f t="shared" si="5"/>
        <v>0.81818181818181812</v>
      </c>
      <c r="P12" s="725">
        <f t="shared" si="5"/>
        <v>0.72413793103448265</v>
      </c>
      <c r="Q12" s="726">
        <f t="shared" si="5"/>
        <v>0.5625</v>
      </c>
      <c r="R12" s="727">
        <f t="shared" si="5"/>
        <v>0.81818181818181812</v>
      </c>
      <c r="S12" s="1157"/>
      <c r="T12" s="662"/>
      <c r="U12" s="371">
        <f>U11/(1-U11)</f>
        <v>0.4705882352941177</v>
      </c>
      <c r="V12" s="372">
        <f>V11/(1-V11)</f>
        <v>0.66666666666666674</v>
      </c>
      <c r="W12" s="372">
        <f>W11/(1-W11)</f>
        <v>0.33333333333333331</v>
      </c>
      <c r="X12" s="372">
        <f>X11/(1-X11)</f>
        <v>0.33333333333333331</v>
      </c>
      <c r="Y12" s="372">
        <f>Y11/(1-Y11)</f>
        <v>0.33333333333333331</v>
      </c>
      <c r="Z12" s="373" t="s">
        <v>364</v>
      </c>
      <c r="AA12" s="224"/>
      <c r="AB12" s="371">
        <f>AB11/(1-AB11)</f>
        <v>0.53846153846153844</v>
      </c>
      <c r="AC12" s="372">
        <f>AC11/(1-AC11)</f>
        <v>0.81818181818181812</v>
      </c>
      <c r="AD12" s="372">
        <f>AD11/(1-AD11)</f>
        <v>0.33333333333333331</v>
      </c>
      <c r="AE12" s="372">
        <f>AE11/(1-AE11)</f>
        <v>0.33333333333333331</v>
      </c>
      <c r="AF12" s="373">
        <f>AF11/(1-AF11)</f>
        <v>0.33333333333333331</v>
      </c>
      <c r="AG12" s="49"/>
      <c r="AH12" s="313"/>
      <c r="AI12" s="297"/>
      <c r="AJ12" s="79"/>
      <c r="AK12" s="79"/>
      <c r="AL12" s="313"/>
      <c r="AM12" s="1418"/>
      <c r="AN12" s="266" t="s">
        <v>210</v>
      </c>
      <c r="AO12" s="266" t="s">
        <v>211</v>
      </c>
      <c r="AP12" s="1097">
        <v>41303</v>
      </c>
      <c r="AQ12" s="1104">
        <v>9.5000000000000001E-2</v>
      </c>
      <c r="AR12" s="1077" t="s">
        <v>230</v>
      </c>
      <c r="AS12" s="1076" t="s">
        <v>198</v>
      </c>
      <c r="AT12" s="1078" t="s">
        <v>233</v>
      </c>
      <c r="AU12" s="1054">
        <v>0.104</v>
      </c>
      <c r="AV12" s="1046"/>
      <c r="AX12" s="52"/>
      <c r="AY12" s="52"/>
      <c r="AZ12" s="52"/>
      <c r="BA12" s="52"/>
      <c r="BB12" s="52"/>
      <c r="BC12" s="52"/>
      <c r="BD12" s="52"/>
      <c r="BE12" s="52"/>
      <c r="BF12" s="52"/>
      <c r="BG12" s="52"/>
      <c r="BH12" s="52"/>
      <c r="BI12" s="52"/>
      <c r="BJ12" s="52"/>
      <c r="BK12" s="52"/>
      <c r="BL12" s="52"/>
      <c r="BN12" s="52"/>
      <c r="BO12" s="282"/>
      <c r="BP12" s="52"/>
      <c r="BQ12" s="52"/>
      <c r="BR12" s="52"/>
      <c r="BS12" s="52"/>
      <c r="BT12" s="52"/>
      <c r="BU12" s="52"/>
      <c r="BV12" s="52"/>
      <c r="BW12" s="52"/>
      <c r="BX12" s="52"/>
      <c r="BY12" s="52"/>
      <c r="BZ12" s="52"/>
      <c r="CA12" s="52"/>
      <c r="CB12" s="52"/>
      <c r="CD12" s="52"/>
      <c r="CE12" s="52"/>
      <c r="CF12" s="52"/>
      <c r="CG12" s="52"/>
      <c r="CH12" s="52"/>
      <c r="CI12" s="52"/>
      <c r="CJ12" s="52"/>
      <c r="CK12" s="52"/>
      <c r="CL12" s="1831"/>
      <c r="CM12" s="1831"/>
      <c r="CN12" s="1831"/>
      <c r="CO12" s="1831"/>
      <c r="CP12" s="1831"/>
      <c r="CQ12" s="1831"/>
      <c r="CR12" s="1831"/>
    </row>
    <row r="13" spans="1:96">
      <c r="A13" s="215"/>
      <c r="B13" s="66"/>
      <c r="C13" s="351"/>
      <c r="D13" s="80"/>
      <c r="E13" s="33" t="s">
        <v>169</v>
      </c>
      <c r="F13" s="679" t="s">
        <v>170</v>
      </c>
      <c r="G13" s="80"/>
      <c r="H13" s="33" t="s">
        <v>169</v>
      </c>
      <c r="I13" s="679" t="s">
        <v>170</v>
      </c>
      <c r="J13" s="80"/>
      <c r="K13" s="33" t="s">
        <v>169</v>
      </c>
      <c r="L13" s="679" t="s">
        <v>170</v>
      </c>
      <c r="M13" s="80"/>
      <c r="N13" s="33" t="s">
        <v>169</v>
      </c>
      <c r="O13" s="679" t="s">
        <v>170</v>
      </c>
      <c r="P13" s="80"/>
      <c r="Q13" s="33" t="s">
        <v>169</v>
      </c>
      <c r="R13" s="679" t="s">
        <v>170</v>
      </c>
      <c r="S13" s="1157"/>
      <c r="T13" s="49"/>
      <c r="U13" s="689"/>
      <c r="V13" s="79"/>
      <c r="W13" s="79"/>
      <c r="X13" s="79"/>
      <c r="Y13" s="79"/>
      <c r="Z13" s="313"/>
      <c r="AA13" s="224"/>
      <c r="AB13" s="689"/>
      <c r="AC13" s="79"/>
      <c r="AD13" s="79"/>
      <c r="AE13" s="79"/>
      <c r="AF13" s="313"/>
      <c r="AG13" s="49"/>
      <c r="AH13" s="313"/>
      <c r="AI13" s="297"/>
      <c r="AJ13" s="79"/>
      <c r="AK13" s="79"/>
      <c r="AL13" s="313"/>
      <c r="AM13" s="1418"/>
      <c r="AN13" s="266" t="s">
        <v>212</v>
      </c>
      <c r="AO13" s="266" t="s">
        <v>213</v>
      </c>
      <c r="AP13" s="1097">
        <v>41757</v>
      </c>
      <c r="AQ13" s="1109">
        <v>0.1226</v>
      </c>
      <c r="AR13" s="1079" t="s">
        <v>198</v>
      </c>
      <c r="AS13" s="1076" t="s">
        <v>198</v>
      </c>
      <c r="AT13" s="1076" t="s">
        <v>198</v>
      </c>
      <c r="AU13" s="1054">
        <v>0.1429</v>
      </c>
      <c r="AV13" s="1044">
        <v>41255</v>
      </c>
      <c r="AX13" s="52"/>
      <c r="AY13" s="52"/>
      <c r="AZ13" s="52"/>
      <c r="BA13" s="52"/>
      <c r="BB13" s="52"/>
      <c r="BC13" s="52"/>
      <c r="BD13" s="52"/>
      <c r="BE13" s="52"/>
      <c r="BF13" s="52"/>
      <c r="BG13" s="52"/>
      <c r="BH13" s="52"/>
      <c r="BI13" s="52"/>
      <c r="BJ13" s="52"/>
      <c r="BK13" s="52"/>
      <c r="BL13" s="52"/>
      <c r="BN13" s="52"/>
      <c r="BO13" s="282"/>
      <c r="BP13" s="52"/>
      <c r="BQ13" s="52"/>
      <c r="BR13" s="52"/>
      <c r="BS13" s="52"/>
      <c r="BT13" s="52"/>
      <c r="BU13" s="52"/>
      <c r="BV13" s="52"/>
      <c r="BW13" s="52"/>
      <c r="BX13" s="52"/>
      <c r="BY13" s="52"/>
      <c r="BZ13" s="52"/>
      <c r="CA13" s="52"/>
      <c r="CB13" s="52"/>
      <c r="CD13" s="52"/>
      <c r="CE13" s="52"/>
      <c r="CF13" s="52"/>
      <c r="CG13" s="52"/>
      <c r="CH13" s="52"/>
      <c r="CI13" s="52"/>
      <c r="CJ13" s="52"/>
      <c r="CK13" s="52"/>
      <c r="CL13" s="1831"/>
      <c r="CM13" s="1831"/>
      <c r="CN13" s="1831"/>
      <c r="CO13" s="1831"/>
      <c r="CP13" s="1831"/>
      <c r="CQ13" s="1831"/>
      <c r="CR13" s="1831"/>
    </row>
    <row r="14" spans="1:96" s="1007" customFormat="1">
      <c r="A14" s="216" t="s">
        <v>138</v>
      </c>
      <c r="B14" s="1799" t="s">
        <v>167</v>
      </c>
      <c r="C14" s="1800"/>
      <c r="D14" s="76" t="str">
        <f t="shared" ref="D14:J14" si="6">IF($S$10&gt;50%,D86,D87)</f>
        <v>A-</v>
      </c>
      <c r="E14" s="678" t="str">
        <f t="shared" si="6"/>
        <v>A</v>
      </c>
      <c r="F14" s="678" t="str">
        <f t="shared" si="6"/>
        <v>BBB+</v>
      </c>
      <c r="G14" s="76" t="s">
        <v>149</v>
      </c>
      <c r="H14" s="678" t="str">
        <f t="shared" si="6"/>
        <v>BB-</v>
      </c>
      <c r="I14" s="678" t="str">
        <f t="shared" si="6"/>
        <v>B+</v>
      </c>
      <c r="J14" s="77" t="str">
        <f t="shared" si="6"/>
        <v>BBB</v>
      </c>
      <c r="K14" s="678" t="str">
        <f t="shared" ref="K14:R14" si="7">IF($S$10&gt;50%,K86,K87)</f>
        <v>BBB+</v>
      </c>
      <c r="L14" s="678" t="str">
        <f t="shared" si="7"/>
        <v>BBB-</v>
      </c>
      <c r="M14" s="76" t="str">
        <f t="shared" si="7"/>
        <v>BBB-</v>
      </c>
      <c r="N14" s="678" t="str">
        <f t="shared" si="7"/>
        <v>BBB</v>
      </c>
      <c r="O14" s="678" t="str">
        <f t="shared" si="7"/>
        <v>BB+</v>
      </c>
      <c r="P14" s="77" t="str">
        <f t="shared" si="7"/>
        <v>BBB-</v>
      </c>
      <c r="Q14" s="678" t="str">
        <f t="shared" si="7"/>
        <v>BBB</v>
      </c>
      <c r="R14" s="678" t="str">
        <f t="shared" si="7"/>
        <v>BB+</v>
      </c>
      <c r="S14" s="1155"/>
      <c r="T14" s="49"/>
      <c r="U14" s="690" t="s">
        <v>139</v>
      </c>
      <c r="V14" s="691" t="s">
        <v>142</v>
      </c>
      <c r="W14" s="691" t="s">
        <v>139</v>
      </c>
      <c r="X14" s="691" t="s">
        <v>143</v>
      </c>
      <c r="Y14" s="691" t="s">
        <v>143</v>
      </c>
      <c r="Z14" s="692" t="s">
        <v>257</v>
      </c>
      <c r="AA14" s="218"/>
      <c r="AB14" s="805"/>
      <c r="AC14" s="784"/>
      <c r="AD14" s="691"/>
      <c r="AE14" s="691"/>
      <c r="AF14" s="806"/>
      <c r="AG14" s="49"/>
      <c r="AH14" s="387"/>
      <c r="AI14" s="723" t="str">
        <f>CONCATENATE(-(D18-U18)," notch")</f>
        <v>-1 notch</v>
      </c>
      <c r="AJ14" s="711" t="str">
        <f>CONCATENATE(-(J18-V18)," notch")</f>
        <v>-1 notch</v>
      </c>
      <c r="AK14" s="711" t="str">
        <f>CONCATENATE(-(P18-Y18)," notch")</f>
        <v>-3 notch</v>
      </c>
      <c r="AL14" s="724" t="str">
        <f>CONCATENATE(-(M18-X18)," notch")</f>
        <v>-3 notch</v>
      </c>
      <c r="AM14" s="998"/>
      <c r="AN14" s="266" t="s">
        <v>214</v>
      </c>
      <c r="AO14" s="266" t="s">
        <v>215</v>
      </c>
      <c r="AP14" s="1102">
        <v>41740</v>
      </c>
      <c r="AQ14" s="1111">
        <v>8.48E-2</v>
      </c>
      <c r="AR14" s="1075" t="s">
        <v>230</v>
      </c>
      <c r="AS14" s="1076" t="s">
        <v>198</v>
      </c>
      <c r="AT14" s="1076" t="s">
        <v>198</v>
      </c>
      <c r="AU14" s="1065">
        <v>8.6599999999999996E-2</v>
      </c>
      <c r="AV14" s="1047"/>
      <c r="AX14" s="75"/>
      <c r="AY14" s="75"/>
      <c r="AZ14" s="75"/>
      <c r="BA14" s="75"/>
      <c r="BB14" s="75"/>
      <c r="BC14" s="75"/>
      <c r="BD14" s="75"/>
      <c r="BE14" s="75"/>
      <c r="BF14" s="75"/>
      <c r="BG14" s="75"/>
      <c r="BH14" s="75"/>
      <c r="BI14" s="75"/>
      <c r="BJ14" s="75"/>
      <c r="BK14" s="75"/>
      <c r="BL14" s="75"/>
      <c r="BN14" s="75"/>
      <c r="BO14" s="282"/>
      <c r="BP14" s="75"/>
      <c r="BQ14" s="75"/>
      <c r="BR14" s="75"/>
      <c r="BS14" s="75"/>
      <c r="BT14" s="75"/>
      <c r="BU14" s="75"/>
      <c r="BV14" s="75"/>
      <c r="BW14" s="75"/>
      <c r="BX14" s="75"/>
      <c r="BY14" s="75"/>
      <c r="BZ14" s="75"/>
      <c r="CA14" s="75"/>
      <c r="CB14" s="75"/>
      <c r="CD14" s="75"/>
      <c r="CE14" s="75"/>
      <c r="CF14" s="75"/>
      <c r="CG14" s="75"/>
      <c r="CH14" s="75"/>
      <c r="CI14" s="75"/>
      <c r="CJ14" s="75"/>
      <c r="CK14" s="75"/>
      <c r="CL14" s="1831"/>
      <c r="CM14" s="1831"/>
      <c r="CN14" s="1831"/>
      <c r="CO14" s="1831"/>
      <c r="CP14" s="1831"/>
      <c r="CQ14" s="1831"/>
      <c r="CR14" s="1831"/>
    </row>
    <row r="15" spans="1:96">
      <c r="A15" s="219" t="s">
        <v>14</v>
      </c>
      <c r="B15" s="1822" t="s">
        <v>359</v>
      </c>
      <c r="C15" s="1823"/>
      <c r="D15" s="50">
        <f>D17-D16-D3</f>
        <v>1.2381910828025474E-2</v>
      </c>
      <c r="E15" s="57">
        <f>E17-E16-E3</f>
        <v>1.0628369426751581E-2</v>
      </c>
      <c r="F15" s="128">
        <f t="shared" ref="F15:R15" si="8">F17-F16-F3</f>
        <v>1.8894970605862815E-2</v>
      </c>
      <c r="G15" s="50">
        <f t="shared" si="8"/>
        <v>5.2040844585987248E-2</v>
      </c>
      <c r="H15" s="57">
        <f t="shared" si="8"/>
        <v>5.2040844585987248E-2</v>
      </c>
      <c r="I15" s="128">
        <f t="shared" si="8"/>
        <v>6.9881552261913754E-2</v>
      </c>
      <c r="J15" s="50">
        <f t="shared" si="8"/>
        <v>1.664773248407642E-2</v>
      </c>
      <c r="K15" s="57">
        <f t="shared" si="8"/>
        <v>1.4135452229299374E-2</v>
      </c>
      <c r="L15" s="128">
        <f t="shared" si="8"/>
        <v>2.7731053408410561E-2</v>
      </c>
      <c r="M15" s="50">
        <f t="shared" si="8"/>
        <v>2.2971535031847127E-2</v>
      </c>
      <c r="N15" s="57">
        <f t="shared" si="8"/>
        <v>1.664773248407642E-2</v>
      </c>
      <c r="O15" s="128">
        <f t="shared" si="8"/>
        <v>3.6815212644079345E-2</v>
      </c>
      <c r="P15" s="50">
        <f t="shared" si="8"/>
        <v>2.2971535031847127E-2</v>
      </c>
      <c r="Q15" s="57">
        <f t="shared" si="8"/>
        <v>1.664773248407642E-2</v>
      </c>
      <c r="R15" s="128">
        <f t="shared" si="8"/>
        <v>3.6815212644079345E-2</v>
      </c>
      <c r="S15" s="1155"/>
      <c r="T15" s="73"/>
      <c r="U15" s="81">
        <v>1.2999999999999999E-2</v>
      </c>
      <c r="V15" s="58">
        <v>1.4999999999999999E-2</v>
      </c>
      <c r="W15" s="81">
        <v>1.2999999999999999E-2</v>
      </c>
      <c r="X15" s="81">
        <v>1.2999999999999999E-2</v>
      </c>
      <c r="Y15" s="58">
        <v>1.2999999999999999E-2</v>
      </c>
      <c r="Z15" s="311" t="s">
        <v>359</v>
      </c>
      <c r="AA15" s="419"/>
      <c r="AB15" s="81">
        <v>1.7999999999999999E-2</v>
      </c>
      <c r="AC15" s="81">
        <v>1.7999999999999999E-2</v>
      </c>
      <c r="AD15" s="81">
        <v>1.7999999999999999E-2</v>
      </c>
      <c r="AE15" s="81">
        <v>1.7999999999999999E-2</v>
      </c>
      <c r="AF15" s="81">
        <v>1.7999999999999999E-2</v>
      </c>
      <c r="AG15" s="73"/>
      <c r="AH15" s="387"/>
      <c r="AI15" s="32">
        <f>D15-U15</f>
        <v>-6.1808917197452538E-4</v>
      </c>
      <c r="AJ15" s="712">
        <f>J15-V15</f>
        <v>1.6477324840764203E-3</v>
      </c>
      <c r="AK15" s="712">
        <f>P15-Y15</f>
        <v>9.9715350318471275E-3</v>
      </c>
      <c r="AL15" s="354">
        <f>M15-X15</f>
        <v>9.9715350318471275E-3</v>
      </c>
      <c r="AM15" s="1087"/>
      <c r="AN15" s="266" t="s">
        <v>216</v>
      </c>
      <c r="AO15" s="266" t="s">
        <v>217</v>
      </c>
      <c r="AP15" s="1097">
        <v>41625</v>
      </c>
      <c r="AQ15" s="1112">
        <v>9.3600000000000003E-2</v>
      </c>
      <c r="AR15" s="1072">
        <v>0.104</v>
      </c>
      <c r="AS15" s="1080" t="s">
        <v>249</v>
      </c>
      <c r="AT15" s="1075" t="s">
        <v>230</v>
      </c>
      <c r="AU15" s="1061">
        <v>0.104</v>
      </c>
      <c r="AV15" s="1044">
        <v>40864</v>
      </c>
      <c r="AX15" s="48"/>
      <c r="AY15" s="48"/>
      <c r="AZ15" s="48"/>
      <c r="BA15" s="48"/>
      <c r="BB15" s="48"/>
      <c r="BC15" s="48"/>
      <c r="BD15" s="48"/>
      <c r="BE15" s="48"/>
      <c r="BF15" s="48"/>
      <c r="BG15" s="48"/>
      <c r="BH15" s="48"/>
      <c r="BI15" s="48"/>
      <c r="BJ15" s="48"/>
      <c r="BK15" s="48"/>
      <c r="BL15" s="48"/>
      <c r="BN15" s="48"/>
      <c r="BO15" s="201"/>
      <c r="BP15" s="48"/>
      <c r="BQ15" s="48"/>
      <c r="BR15" s="48"/>
      <c r="BS15" s="48"/>
      <c r="BT15" s="48"/>
      <c r="BU15" s="48"/>
      <c r="BV15" s="48"/>
      <c r="BW15" s="48"/>
      <c r="BX15" s="48"/>
      <c r="BY15" s="48"/>
      <c r="BZ15" s="48"/>
      <c r="CA15" s="48"/>
      <c r="CB15" s="48"/>
      <c r="CD15" s="48"/>
      <c r="CE15" s="48"/>
      <c r="CF15" s="48"/>
      <c r="CG15" s="48"/>
      <c r="CH15" s="48"/>
      <c r="CI15" s="48"/>
      <c r="CJ15" s="48"/>
      <c r="CK15" s="48"/>
      <c r="CL15" s="1832" t="s">
        <v>306</v>
      </c>
      <c r="CM15" s="1832"/>
      <c r="CN15" s="1832"/>
      <c r="CO15" s="1832"/>
      <c r="CP15" s="1832"/>
      <c r="CQ15" s="1832"/>
      <c r="CR15" s="1832"/>
    </row>
    <row r="16" spans="1:96" s="1005" customFormat="1" ht="12.75" customHeight="1">
      <c r="A16" s="74" t="s">
        <v>144</v>
      </c>
      <c r="B16" s="1799" t="s">
        <v>145</v>
      </c>
      <c r="C16" s="1800"/>
      <c r="D16" s="62">
        <f>$J$16</f>
        <v>1.5E-3</v>
      </c>
      <c r="E16" s="251">
        <f>D16</f>
        <v>1.5E-3</v>
      </c>
      <c r="F16" s="251">
        <f>D16</f>
        <v>1.5E-3</v>
      </c>
      <c r="G16" s="62">
        <f>$J$16</f>
        <v>1.5E-3</v>
      </c>
      <c r="H16" s="251">
        <f>G16</f>
        <v>1.5E-3</v>
      </c>
      <c r="I16" s="251">
        <f>G16</f>
        <v>1.5E-3</v>
      </c>
      <c r="J16" s="195">
        <f>$D$79/100</f>
        <v>1.5E-3</v>
      </c>
      <c r="K16" s="251">
        <f>J16</f>
        <v>1.5E-3</v>
      </c>
      <c r="L16" s="251">
        <f>J16</f>
        <v>1.5E-3</v>
      </c>
      <c r="M16" s="62">
        <f>$J$16</f>
        <v>1.5E-3</v>
      </c>
      <c r="N16" s="251">
        <f>M16</f>
        <v>1.5E-3</v>
      </c>
      <c r="O16" s="251">
        <f>M16</f>
        <v>1.5E-3</v>
      </c>
      <c r="P16" s="195">
        <f>$D$79/100</f>
        <v>1.5E-3</v>
      </c>
      <c r="Q16" s="251">
        <f>P16</f>
        <v>1.5E-3</v>
      </c>
      <c r="R16" s="251">
        <f>P16</f>
        <v>1.5E-3</v>
      </c>
      <c r="S16" s="1153"/>
      <c r="T16" s="49"/>
      <c r="U16" s="374">
        <v>2E-3</v>
      </c>
      <c r="V16" s="374">
        <v>2E-3</v>
      </c>
      <c r="W16" s="374">
        <v>2E-3</v>
      </c>
      <c r="X16" s="374">
        <v>2E-3</v>
      </c>
      <c r="Y16" s="374">
        <v>2E-3</v>
      </c>
      <c r="Z16" s="62" t="s">
        <v>145</v>
      </c>
      <c r="AA16" s="215"/>
      <c r="AB16" s="807"/>
      <c r="AC16" s="389"/>
      <c r="AD16" s="389"/>
      <c r="AE16" s="389"/>
      <c r="AF16" s="808"/>
      <c r="AG16" s="49"/>
      <c r="AH16" s="354"/>
      <c r="AI16" s="32">
        <f>D16-U16</f>
        <v>-5.0000000000000001E-4</v>
      </c>
      <c r="AJ16" s="712">
        <f>J16-U16</f>
        <v>-5.0000000000000001E-4</v>
      </c>
      <c r="AK16" s="712">
        <f>P16-Y16</f>
        <v>-5.0000000000000001E-4</v>
      </c>
      <c r="AL16" s="354">
        <f>M16-X16</f>
        <v>-5.0000000000000001E-4</v>
      </c>
      <c r="AM16" s="1087"/>
      <c r="AN16" s="266" t="s">
        <v>218</v>
      </c>
      <c r="AO16" s="266" t="s">
        <v>228</v>
      </c>
      <c r="AP16" s="1097">
        <v>40453</v>
      </c>
      <c r="AQ16" s="1110">
        <v>0.10199999999999999</v>
      </c>
      <c r="AR16" s="1077" t="s">
        <v>230</v>
      </c>
      <c r="AS16" s="1076" t="s">
        <v>198</v>
      </c>
      <c r="AT16" s="1078" t="s">
        <v>233</v>
      </c>
      <c r="AU16" s="1061">
        <v>0.11799999999999999</v>
      </c>
      <c r="AV16" s="1044">
        <v>41624</v>
      </c>
      <c r="AX16" s="31"/>
      <c r="AY16" s="31"/>
      <c r="AZ16" s="31"/>
      <c r="BA16" s="31"/>
      <c r="BB16" s="31"/>
      <c r="BC16" s="31"/>
      <c r="BD16" s="31"/>
      <c r="BE16" s="31"/>
      <c r="BF16" s="31"/>
      <c r="BG16" s="31"/>
      <c r="BH16" s="31"/>
      <c r="BI16" s="31"/>
      <c r="BJ16" s="31"/>
      <c r="BK16" s="31"/>
      <c r="BL16" s="31"/>
      <c r="BN16" s="31"/>
      <c r="BO16" s="282"/>
      <c r="BP16" s="31"/>
      <c r="BQ16" s="31"/>
      <c r="BR16" s="31"/>
      <c r="BS16" s="31"/>
      <c r="BT16" s="31"/>
      <c r="BU16" s="31"/>
      <c r="BV16" s="31"/>
      <c r="BW16" s="31"/>
      <c r="BX16" s="31"/>
      <c r="BY16" s="31"/>
      <c r="BZ16" s="31"/>
      <c r="CA16" s="31"/>
      <c r="CB16" s="31"/>
      <c r="CD16" s="31"/>
      <c r="CE16" s="31"/>
      <c r="CF16" s="31"/>
      <c r="CG16" s="31"/>
      <c r="CH16" s="31"/>
      <c r="CI16" s="31"/>
      <c r="CJ16" s="31"/>
      <c r="CK16" s="31"/>
      <c r="CL16" s="1832"/>
      <c r="CM16" s="1832"/>
      <c r="CN16" s="1832"/>
      <c r="CO16" s="1832"/>
      <c r="CP16" s="1832"/>
      <c r="CQ16" s="1832"/>
      <c r="CR16" s="1832"/>
    </row>
    <row r="17" spans="1:96" s="1008" customFormat="1">
      <c r="A17" s="220" t="s">
        <v>16</v>
      </c>
      <c r="B17" s="1398" t="s">
        <v>360</v>
      </c>
      <c r="C17" s="1399"/>
      <c r="D17" s="1396">
        <f>INDEX($E$68:$Q$78,D18,D8)/100+D16</f>
        <v>4.0185066147264081E-2</v>
      </c>
      <c r="E17" s="1397">
        <f>INDEX($E$68:$Q$78,E18,E8)/100+E16+(E3-D3)</f>
        <v>3.367200636942675E-2</v>
      </c>
      <c r="F17" s="128">
        <f>INDEX($E$68:$Q$78,F18,F8)/100+F16+(F3-E3)</f>
        <v>5.5186173140364503E-2</v>
      </c>
      <c r="G17" s="1396">
        <f>INDEX($E$68:$Q$78,G18,G8)/100+G16</f>
        <v>7.9843999905225851E-2</v>
      </c>
      <c r="H17" s="1397">
        <f>INDEX($E$68:$Q$78,H18,H8)/100+H16+(H3-G3)</f>
        <v>7.5084481528662414E-2</v>
      </c>
      <c r="I17" s="128">
        <f>INDEX($E$68:$Q$78,I18,I8)/100+I16+(I3-H3)</f>
        <v>0.10617275479641544</v>
      </c>
      <c r="J17" s="1396">
        <f>INDEX($E$68:$Q$78,J18,J8)/100+J16</f>
        <v>4.4450887803315027E-2</v>
      </c>
      <c r="K17" s="1397">
        <f>INDEX($E$68:$Q$78,K18,K8)/100+K16+(K3-J3)</f>
        <v>3.7179089171974544E-2</v>
      </c>
      <c r="L17" s="128">
        <f>INDEX($E$68:$Q$78,L18,L8)/100+L16+(L3-K3)</f>
        <v>6.4022255942912248E-2</v>
      </c>
      <c r="M17" s="1396">
        <f>INDEX($E$68:$Q$78,M18,M8)/100+M16</f>
        <v>5.0774690351085734E-2</v>
      </c>
      <c r="N17" s="1397">
        <f>INDEX($E$68:$Q$78,N18,N8)/100+N16+(N3-M3)</f>
        <v>3.969136942675159E-2</v>
      </c>
      <c r="O17" s="128">
        <f>INDEX($E$68:$Q$78,O18,O8)/100+O16+(O3-N3)</f>
        <v>7.3106415178581033E-2</v>
      </c>
      <c r="P17" s="1396">
        <f>INDEX($E$68:$Q$78,P18,P8)/100+P16</f>
        <v>5.0774690351085734E-2</v>
      </c>
      <c r="Q17" s="1397">
        <f>INDEX($E$68:$Q$78,Q18,Q8)/100+Q16+(Q3-P3)</f>
        <v>3.969136942675159E-2</v>
      </c>
      <c r="R17" s="128">
        <f>INDEX($E$68:$Q$78,R18,R8)/100+R16+(R3-Q3)</f>
        <v>7.3106415178581033E-2</v>
      </c>
      <c r="S17" s="1154"/>
      <c r="T17" s="73"/>
      <c r="U17" s="1402">
        <f>U3+U15+U16</f>
        <v>5.5E-2</v>
      </c>
      <c r="V17" s="1403">
        <f>V3+V15+V16</f>
        <v>5.7000000000000002E-2</v>
      </c>
      <c r="W17" s="1403">
        <f>W3+W15+W16</f>
        <v>5.5E-2</v>
      </c>
      <c r="X17" s="1403">
        <f>X3+X15+X16</f>
        <v>5.5E-2</v>
      </c>
      <c r="Y17" s="1403">
        <f>Y3+Y15+Y16</f>
        <v>5.5E-2</v>
      </c>
      <c r="Z17" s="693" t="s">
        <v>258</v>
      </c>
      <c r="AA17" s="420"/>
      <c r="AB17" s="699">
        <f>AB3+AB15</f>
        <v>5.6999999999999995E-2</v>
      </c>
      <c r="AC17" s="701">
        <f>AC3+AC15</f>
        <v>5.6999999999999995E-2</v>
      </c>
      <c r="AD17" s="701">
        <f>AD3+AD15</f>
        <v>5.6999999999999995E-2</v>
      </c>
      <c r="AE17" s="701">
        <f>AE3+AE15</f>
        <v>5.6999999999999995E-2</v>
      </c>
      <c r="AF17" s="809">
        <f>AF3+AF15</f>
        <v>5.6999999999999995E-2</v>
      </c>
      <c r="AG17" s="73"/>
      <c r="AH17" s="425"/>
      <c r="AI17" s="50">
        <f>D17-U17</f>
        <v>-1.4814933852735919E-2</v>
      </c>
      <c r="AJ17" s="82">
        <f>J17-V17</f>
        <v>-1.2549112196684975E-2</v>
      </c>
      <c r="AK17" s="82">
        <f>P17-Y17</f>
        <v>-4.2253096489142661E-3</v>
      </c>
      <c r="AL17" s="83">
        <f>M17-X17</f>
        <v>-4.2253096489142661E-3</v>
      </c>
      <c r="AM17" s="1089"/>
      <c r="AN17" s="268" t="s">
        <v>219</v>
      </c>
      <c r="AO17" s="266" t="s">
        <v>426</v>
      </c>
      <c r="AP17" s="1097">
        <v>41348</v>
      </c>
      <c r="AQ17" s="1110">
        <v>6.2E-2</v>
      </c>
      <c r="AR17" s="1071">
        <v>6.8099999999999994E-2</v>
      </c>
      <c r="AS17" s="1076" t="s">
        <v>198</v>
      </c>
      <c r="AT17" s="1076" t="s">
        <v>198</v>
      </c>
      <c r="AU17" s="1061">
        <v>6.7000000000000004E-2</v>
      </c>
      <c r="AV17" s="1050"/>
      <c r="AX17" s="84"/>
      <c r="AY17" s="84"/>
      <c r="AZ17" s="84"/>
      <c r="BA17" s="84"/>
      <c r="BB17" s="84"/>
      <c r="BC17" s="84"/>
      <c r="BD17" s="84"/>
      <c r="BE17" s="84"/>
      <c r="BF17" s="84"/>
      <c r="BG17" s="84"/>
      <c r="BH17" s="84"/>
      <c r="BI17" s="84"/>
      <c r="BJ17" s="84"/>
      <c r="BK17" s="84"/>
      <c r="BL17" s="84"/>
      <c r="BN17" s="84"/>
      <c r="BO17" s="201"/>
      <c r="BP17" s="84"/>
      <c r="BQ17" s="84"/>
      <c r="BR17" s="84"/>
      <c r="BS17" s="84"/>
      <c r="BT17" s="84"/>
      <c r="BU17" s="84"/>
      <c r="BV17" s="84"/>
      <c r="BW17" s="84"/>
      <c r="BX17" s="84"/>
      <c r="BY17" s="84"/>
      <c r="BZ17" s="84"/>
      <c r="CA17" s="84"/>
      <c r="CB17" s="84"/>
      <c r="CD17" s="84"/>
      <c r="CE17" s="84"/>
      <c r="CF17" s="84"/>
      <c r="CG17" s="84"/>
      <c r="CH17" s="84"/>
      <c r="CI17" s="84"/>
      <c r="CJ17" s="84"/>
      <c r="CK17" s="84"/>
      <c r="CL17" s="1832"/>
      <c r="CM17" s="1832"/>
      <c r="CN17" s="1832"/>
      <c r="CO17" s="1832"/>
      <c r="CP17" s="1832"/>
      <c r="CQ17" s="1832"/>
      <c r="CR17" s="1832"/>
    </row>
    <row r="18" spans="1:96" s="1007" customFormat="1">
      <c r="A18" s="218"/>
      <c r="B18" s="1824" t="s">
        <v>350</v>
      </c>
      <c r="C18" s="1825"/>
      <c r="D18" s="1393">
        <f>VLOOKUP(D14,$C$68:$D$78,2,FALSE)</f>
        <v>2</v>
      </c>
      <c r="E18" s="1394">
        <f t="shared" ref="E18:R18" si="9">VLOOKUP(E14,$C$68:$D$78,2,FALSE)</f>
        <v>1</v>
      </c>
      <c r="F18" s="1395">
        <f t="shared" si="9"/>
        <v>3</v>
      </c>
      <c r="G18" s="1393">
        <f>VLOOKUP(G14,$C$68:$D$78,2,FALSE)</f>
        <v>8</v>
      </c>
      <c r="H18" s="1394">
        <f t="shared" si="9"/>
        <v>8</v>
      </c>
      <c r="I18" s="1395">
        <f t="shared" si="9"/>
        <v>9</v>
      </c>
      <c r="J18" s="1393">
        <f>VLOOKUP(J14,$C$68:$D$78,2,FALSE)</f>
        <v>4</v>
      </c>
      <c r="K18" s="1394">
        <f t="shared" si="9"/>
        <v>3</v>
      </c>
      <c r="L18" s="1395">
        <f t="shared" si="9"/>
        <v>5</v>
      </c>
      <c r="M18" s="1393">
        <f>VLOOKUP(M14,$C$68:$D$78,2,FALSE)</f>
        <v>5</v>
      </c>
      <c r="N18" s="1394">
        <f t="shared" si="9"/>
        <v>4</v>
      </c>
      <c r="O18" s="1395">
        <f t="shared" si="9"/>
        <v>6</v>
      </c>
      <c r="P18" s="1393">
        <f>VLOOKUP(P14,$C$68:$D$78,2,FALSE)</f>
        <v>5</v>
      </c>
      <c r="Q18" s="1394">
        <f t="shared" si="9"/>
        <v>4</v>
      </c>
      <c r="R18" s="1395">
        <f t="shared" si="9"/>
        <v>6</v>
      </c>
      <c r="S18" s="1158"/>
      <c r="T18" s="545"/>
      <c r="U18" s="1400">
        <v>1</v>
      </c>
      <c r="V18" s="1401">
        <v>3</v>
      </c>
      <c r="W18" s="1401">
        <v>1</v>
      </c>
      <c r="X18" s="1401">
        <v>2</v>
      </c>
      <c r="Y18" s="1401">
        <v>2</v>
      </c>
      <c r="Z18" s="603"/>
      <c r="AA18" s="602"/>
      <c r="AB18" s="685"/>
      <c r="AC18" s="686"/>
      <c r="AD18" s="686"/>
      <c r="AE18" s="686"/>
      <c r="AF18" s="810"/>
      <c r="AG18" s="545"/>
      <c r="AH18" s="603"/>
      <c r="AI18" s="604"/>
      <c r="AJ18" s="545"/>
      <c r="AK18" s="545"/>
      <c r="AL18" s="546"/>
      <c r="AM18" s="1179"/>
      <c r="AN18" s="273"/>
      <c r="AO18" s="278" t="s">
        <v>427</v>
      </c>
      <c r="AP18" s="1102">
        <v>41099</v>
      </c>
      <c r="AQ18" s="1113">
        <f>(1+5.1%)*(1+1.8%)-1</f>
        <v>6.9917999999999925E-2</v>
      </c>
      <c r="AR18" s="1084" t="s">
        <v>230</v>
      </c>
      <c r="AS18" s="1084" t="s">
        <v>230</v>
      </c>
      <c r="AT18" s="1084" t="s">
        <v>230</v>
      </c>
      <c r="AU18" s="1061"/>
      <c r="AV18" s="1050"/>
      <c r="AX18" s="75"/>
      <c r="AY18" s="75"/>
      <c r="AZ18" s="75"/>
      <c r="BA18" s="75"/>
      <c r="BB18" s="75"/>
      <c r="BC18" s="75"/>
      <c r="BD18" s="75"/>
      <c r="BE18" s="75"/>
      <c r="BF18" s="75"/>
      <c r="BG18" s="75"/>
      <c r="BH18" s="75"/>
      <c r="BI18" s="75"/>
      <c r="BJ18" s="75"/>
      <c r="BK18" s="75"/>
      <c r="BL18" s="75"/>
      <c r="BN18" s="75"/>
      <c r="BO18" s="282"/>
      <c r="BP18" s="75"/>
      <c r="BQ18" s="75"/>
      <c r="BR18" s="75"/>
      <c r="BS18" s="75"/>
      <c r="BT18" s="75"/>
      <c r="BU18" s="75"/>
      <c r="BV18" s="75"/>
      <c r="BW18" s="75"/>
      <c r="BX18" s="75"/>
      <c r="BY18" s="75"/>
      <c r="BZ18" s="75"/>
      <c r="CA18" s="75"/>
      <c r="CB18" s="75"/>
      <c r="CD18" s="75"/>
      <c r="CE18" s="75"/>
      <c r="CF18" s="75"/>
      <c r="CG18" s="75"/>
      <c r="CH18" s="75"/>
      <c r="CI18" s="75"/>
      <c r="CJ18" s="75"/>
      <c r="CK18" s="75"/>
      <c r="CL18" s="416"/>
      <c r="CM18" s="416"/>
      <c r="CN18" s="416"/>
      <c r="CO18" s="416"/>
      <c r="CP18" s="416"/>
      <c r="CQ18" s="416"/>
      <c r="CR18" s="75"/>
    </row>
    <row r="19" spans="1:96" s="1007" customFormat="1">
      <c r="A19" s="218"/>
      <c r="B19" s="1807"/>
      <c r="C19" s="1808"/>
      <c r="D19" s="567"/>
      <c r="E19" s="558" t="s">
        <v>135</v>
      </c>
      <c r="F19" s="688" t="s">
        <v>136</v>
      </c>
      <c r="G19" s="567"/>
      <c r="H19" s="558" t="s">
        <v>135</v>
      </c>
      <c r="I19" s="688" t="s">
        <v>136</v>
      </c>
      <c r="J19" s="567"/>
      <c r="K19" s="558" t="s">
        <v>135</v>
      </c>
      <c r="L19" s="688" t="s">
        <v>136</v>
      </c>
      <c r="M19" s="567"/>
      <c r="N19" s="558" t="s">
        <v>135</v>
      </c>
      <c r="O19" s="688" t="s">
        <v>136</v>
      </c>
      <c r="P19" s="567"/>
      <c r="Q19" s="558" t="s">
        <v>135</v>
      </c>
      <c r="R19" s="688" t="s">
        <v>136</v>
      </c>
      <c r="S19" s="1158"/>
      <c r="T19" s="545"/>
      <c r="U19" s="1726">
        <f>U23/(1+U43)+U22*U43/(1+U43)</f>
        <v>0.62655555274208985</v>
      </c>
      <c r="V19" s="1727">
        <f>V23/(1+V43)+V22*V43/(1+V43)</f>
        <v>0.64532671885812554</v>
      </c>
      <c r="W19" s="1727">
        <f>W23/(1+W43)+W22*W43/(1+W43)</f>
        <v>0.63386789157181345</v>
      </c>
      <c r="X19" s="1727">
        <f>X23/(1+X43)+X22*X43/(1+X43)</f>
        <v>0.64506428293835016</v>
      </c>
      <c r="Y19" s="1727">
        <f>Y23/(1+Y43)+Y22*Y43/(1+Y43)</f>
        <v>0.63413561978707012</v>
      </c>
      <c r="Z19" s="724" t="s">
        <v>510</v>
      </c>
      <c r="AA19" s="602"/>
      <c r="AB19" s="811"/>
      <c r="AC19" s="812"/>
      <c r="AD19" s="812"/>
      <c r="AE19" s="812"/>
      <c r="AF19" s="813"/>
      <c r="AG19" s="545"/>
      <c r="AH19" s="546"/>
      <c r="AI19" s="604"/>
      <c r="AJ19" s="605"/>
      <c r="AK19" s="605"/>
      <c r="AL19" s="546"/>
      <c r="AM19" s="1179"/>
      <c r="AN19" s="266" t="s">
        <v>90</v>
      </c>
      <c r="AO19" s="266" t="s">
        <v>220</v>
      </c>
      <c r="AP19" s="1097">
        <v>41621</v>
      </c>
      <c r="AQ19" s="1110">
        <v>0.1169</v>
      </c>
      <c r="AR19" s="1077" t="s">
        <v>230</v>
      </c>
      <c r="AS19" s="1076" t="s">
        <v>198</v>
      </c>
      <c r="AT19" s="1077" t="s">
        <v>230</v>
      </c>
      <c r="AU19" s="1061">
        <v>0.111</v>
      </c>
      <c r="AV19" s="1044">
        <v>41029</v>
      </c>
      <c r="AX19" s="75"/>
      <c r="AY19" s="75"/>
      <c r="AZ19" s="75"/>
      <c r="BA19" s="75"/>
      <c r="BB19" s="75"/>
      <c r="BC19" s="75"/>
      <c r="BD19" s="75"/>
      <c r="BE19" s="75"/>
      <c r="BF19" s="75"/>
      <c r="BG19" s="75"/>
      <c r="BH19" s="75"/>
      <c r="BI19" s="75"/>
      <c r="BJ19" s="75"/>
      <c r="BK19" s="75"/>
      <c r="BL19" s="75"/>
      <c r="BN19" s="75"/>
      <c r="BO19" s="282"/>
      <c r="BP19" s="75"/>
      <c r="BQ19" s="75"/>
      <c r="BR19" s="75"/>
      <c r="BS19" s="75"/>
      <c r="BT19" s="75"/>
      <c r="BU19" s="75"/>
      <c r="BV19" s="75"/>
      <c r="BW19" s="75"/>
      <c r="BX19" s="75"/>
      <c r="BY19" s="75"/>
      <c r="BZ19" s="75"/>
      <c r="CA19" s="75"/>
      <c r="CB19" s="75"/>
      <c r="CD19" s="75"/>
      <c r="CE19" s="75"/>
      <c r="CF19" s="75"/>
      <c r="CG19" s="75"/>
      <c r="CH19" s="75"/>
      <c r="CI19" s="75"/>
      <c r="CJ19" s="75"/>
      <c r="CK19" s="75"/>
      <c r="CL19" s="75"/>
      <c r="CM19" s="75"/>
      <c r="CN19" s="75"/>
      <c r="CO19" s="75"/>
      <c r="CP19" s="75"/>
      <c r="CQ19" s="75"/>
      <c r="CR19" s="75"/>
    </row>
    <row r="20" spans="1:96">
      <c r="A20" s="216" t="s">
        <v>6</v>
      </c>
      <c r="B20" s="671" t="s">
        <v>146</v>
      </c>
      <c r="C20" s="191" t="s">
        <v>11</v>
      </c>
      <c r="D20" s="85">
        <f>IF($S$20=1,$S$10*D92+(1-$S$10)*D93,$S$10*D98+(1-$S$10)*D99)</f>
        <v>0.5</v>
      </c>
      <c r="E20" s="680">
        <f t="shared" ref="E20:R20" si="10">IF($S$20=1,$S$10*E92+(1-$S$10)*E93,$S$10*E98+(1-$S$10)*E99)</f>
        <v>0.47499999999999998</v>
      </c>
      <c r="F20" s="680">
        <f t="shared" si="10"/>
        <v>0.52500000000000002</v>
      </c>
      <c r="G20" s="85">
        <f t="shared" si="10"/>
        <v>0.6</v>
      </c>
      <c r="H20" s="680">
        <f t="shared" si="10"/>
        <v>0.57499999999999996</v>
      </c>
      <c r="I20" s="680">
        <f t="shared" si="10"/>
        <v>0.625</v>
      </c>
      <c r="J20" s="86">
        <f t="shared" si="10"/>
        <v>0.6</v>
      </c>
      <c r="K20" s="680">
        <f t="shared" si="10"/>
        <v>0.57499999999999996</v>
      </c>
      <c r="L20" s="680">
        <f t="shared" si="10"/>
        <v>0.625</v>
      </c>
      <c r="M20" s="85">
        <f t="shared" si="10"/>
        <v>0.6</v>
      </c>
      <c r="N20" s="680">
        <f t="shared" si="10"/>
        <v>0.57499999999999996</v>
      </c>
      <c r="O20" s="680">
        <f t="shared" si="10"/>
        <v>0.625</v>
      </c>
      <c r="P20" s="86">
        <f t="shared" si="10"/>
        <v>0.6</v>
      </c>
      <c r="Q20" s="680">
        <f t="shared" si="10"/>
        <v>0.57499999999999996</v>
      </c>
      <c r="R20" s="680">
        <f t="shared" si="10"/>
        <v>0.625</v>
      </c>
      <c r="S20" s="1156">
        <f>IF($B$20="Hamada",100%,0%)</f>
        <v>1</v>
      </c>
      <c r="T20" s="606"/>
      <c r="U20" s="728">
        <f>U23/(1+(1-U7)*U12)</f>
        <v>0.58346199418333278</v>
      </c>
      <c r="V20" s="729">
        <f>V23/(1+(1-V7)*V12)</f>
        <v>0.57867691310587477</v>
      </c>
      <c r="W20" s="729">
        <f>W23/(1+(1-W7)*W12)</f>
        <v>0.60107647332040115</v>
      </c>
      <c r="X20" s="729">
        <f>X23/(1+(1-X7)*X12)</f>
        <v>0.6120051364716812</v>
      </c>
      <c r="Y20" s="729">
        <f>Y23/(1+(1-Y7)*Y12)</f>
        <v>0.60107647332040115</v>
      </c>
      <c r="Z20" s="692" t="s">
        <v>324</v>
      </c>
      <c r="AA20" s="419"/>
      <c r="AB20" s="88">
        <v>0.4</v>
      </c>
      <c r="AC20" s="88">
        <v>0.4</v>
      </c>
      <c r="AD20" s="88">
        <v>0.4</v>
      </c>
      <c r="AE20" s="88">
        <v>0.41</v>
      </c>
      <c r="AF20" s="88">
        <v>0.5</v>
      </c>
      <c r="AG20" s="73"/>
      <c r="AH20" s="387"/>
      <c r="AI20" s="713">
        <f>IF($S$20=1,D20-U20,D21-U20)</f>
        <v>-8.3461994183332777E-2</v>
      </c>
      <c r="AJ20" s="714">
        <f>IF($S$20=1,J20-V20,J21-V20)</f>
        <v>2.1323086894125209E-2</v>
      </c>
      <c r="AK20" s="714">
        <f>IF($S$20=1,P20-Y20,P21-Y20)</f>
        <v>-1.0764733204011723E-3</v>
      </c>
      <c r="AL20" s="376">
        <f>IF($S$20=1,M20-X20,M21-X20)</f>
        <v>-1.2005136471681221E-2</v>
      </c>
      <c r="AM20" s="1419"/>
      <c r="AN20" s="266" t="s">
        <v>221</v>
      </c>
      <c r="AO20" s="266" t="s">
        <v>222</v>
      </c>
      <c r="AP20" s="1097">
        <v>41778</v>
      </c>
      <c r="AQ20" s="1193">
        <v>0.1</v>
      </c>
      <c r="AR20" s="1080" t="s">
        <v>448</v>
      </c>
      <c r="AS20" s="1076" t="s">
        <v>198</v>
      </c>
      <c r="AT20" s="1078">
        <v>8.5999999999999993E-2</v>
      </c>
      <c r="AU20" s="1061">
        <v>8.8999999999999996E-2</v>
      </c>
      <c r="AV20" s="1044">
        <v>40617</v>
      </c>
      <c r="AX20" s="48"/>
      <c r="AY20" s="48"/>
      <c r="AZ20" s="48"/>
      <c r="BA20" s="48"/>
      <c r="BB20" s="48"/>
      <c r="BC20" s="48"/>
      <c r="BD20" s="48"/>
      <c r="BE20" s="48"/>
      <c r="BF20" s="48"/>
      <c r="BG20" s="48"/>
      <c r="BH20" s="48"/>
      <c r="BI20" s="48"/>
      <c r="BJ20" s="48"/>
      <c r="BK20" s="48"/>
      <c r="BL20" s="48"/>
      <c r="BN20" s="48"/>
      <c r="BO20" s="201"/>
      <c r="BP20" s="48"/>
      <c r="BQ20" s="48"/>
      <c r="BR20" s="48"/>
      <c r="BS20" s="48"/>
      <c r="BT20" s="48"/>
      <c r="BU20" s="48"/>
      <c r="BV20" s="48"/>
      <c r="BW20" s="48"/>
      <c r="BX20" s="48"/>
      <c r="BY20" s="48"/>
      <c r="BZ20" s="48"/>
      <c r="CA20" s="48"/>
      <c r="CB20" s="48"/>
      <c r="CD20" s="48"/>
      <c r="CE20" s="48"/>
      <c r="CF20" s="48"/>
      <c r="CG20" s="48"/>
      <c r="CH20" s="48"/>
      <c r="CI20" s="48"/>
      <c r="CJ20" s="48"/>
      <c r="CK20" s="48"/>
      <c r="CL20" s="48"/>
      <c r="CM20" s="48"/>
      <c r="CN20" s="48"/>
      <c r="CO20" s="48"/>
      <c r="CP20" s="48"/>
      <c r="CQ20" s="48"/>
      <c r="CR20" s="48"/>
    </row>
    <row r="21" spans="1:96">
      <c r="A21" s="215"/>
      <c r="B21" s="363" t="str">
        <f>IF(S20=1, "(Harris-P equivalent)", "(Hamada equivalent)")</f>
        <v>(Harris-P equivalent)</v>
      </c>
      <c r="C21" s="351"/>
      <c r="D21" s="89">
        <f t="shared" ref="D21:R21" si="11">D23/(1+(1-(1-$S$20)*D7)*D12)</f>
        <v>0.38084475794911676</v>
      </c>
      <c r="E21" s="90">
        <f t="shared" si="11"/>
        <v>0.38104237983642292</v>
      </c>
      <c r="F21" s="91">
        <f t="shared" si="11"/>
        <v>0.36600395948384395</v>
      </c>
      <c r="G21" s="89">
        <f t="shared" si="11"/>
        <v>0.4132929885853362</v>
      </c>
      <c r="H21" s="90">
        <f t="shared" si="11"/>
        <v>0.40037529091213381</v>
      </c>
      <c r="I21" s="91">
        <f t="shared" si="11"/>
        <v>0.40210327514696625</v>
      </c>
      <c r="J21" s="89">
        <f t="shared" si="11"/>
        <v>0.45293299691868688</v>
      </c>
      <c r="K21" s="90">
        <f t="shared" si="11"/>
        <v>0.45427579494598375</v>
      </c>
      <c r="L21" s="91">
        <f t="shared" si="11"/>
        <v>0.42339491558897835</v>
      </c>
      <c r="M21" s="89">
        <f t="shared" si="11"/>
        <v>0.43163776754330457</v>
      </c>
      <c r="N21" s="90">
        <f t="shared" si="11"/>
        <v>0.44943915076606167</v>
      </c>
      <c r="O21" s="91">
        <f t="shared" si="11"/>
        <v>0.42310669711457821</v>
      </c>
      <c r="P21" s="89">
        <f t="shared" si="11"/>
        <v>0.43163776754330457</v>
      </c>
      <c r="Q21" s="90">
        <f t="shared" si="11"/>
        <v>0.44943915076606167</v>
      </c>
      <c r="R21" s="91">
        <f t="shared" si="11"/>
        <v>0.42310669711457821</v>
      </c>
      <c r="S21" s="1156"/>
      <c r="T21" s="255"/>
      <c r="U21" s="88">
        <v>0.52</v>
      </c>
      <c r="V21" s="86">
        <v>0.5</v>
      </c>
      <c r="W21" s="88">
        <v>0.55000000000000004</v>
      </c>
      <c r="X21" s="88">
        <v>0.56000000000000005</v>
      </c>
      <c r="Y21" s="86">
        <v>0.55000000000000004</v>
      </c>
      <c r="Z21" s="311" t="s">
        <v>357</v>
      </c>
      <c r="AA21" s="224"/>
      <c r="AB21" s="814"/>
      <c r="AC21" s="815"/>
      <c r="AD21" s="815"/>
      <c r="AE21" s="815"/>
      <c r="AF21" s="816"/>
      <c r="AG21" s="255"/>
      <c r="AH21" s="387"/>
      <c r="AI21" s="1812" t="s">
        <v>325</v>
      </c>
      <c r="AJ21" s="1813"/>
      <c r="AK21" s="1813"/>
      <c r="AL21" s="1814"/>
      <c r="AM21" s="1420"/>
      <c r="AN21" s="266" t="s">
        <v>223</v>
      </c>
      <c r="AO21" s="266" t="s">
        <v>224</v>
      </c>
      <c r="AP21" s="1097">
        <v>41624</v>
      </c>
      <c r="AQ21" s="1104">
        <v>7.4999999999999997E-2</v>
      </c>
      <c r="AR21" s="1077" t="s">
        <v>230</v>
      </c>
      <c r="AS21" s="1077" t="s">
        <v>230</v>
      </c>
      <c r="AT21" s="1076" t="s">
        <v>198</v>
      </c>
      <c r="AU21" s="1095">
        <v>7.8E-2</v>
      </c>
      <c r="AV21" s="1049">
        <v>41740</v>
      </c>
      <c r="AX21" s="52"/>
      <c r="AY21" s="52"/>
      <c r="AZ21" s="52"/>
      <c r="BA21" s="52"/>
      <c r="BB21" s="52"/>
      <c r="BC21" s="52"/>
      <c r="BD21" s="52"/>
      <c r="BE21" s="52"/>
      <c r="BF21" s="52"/>
      <c r="BG21" s="52"/>
      <c r="BH21" s="52"/>
      <c r="BI21" s="52"/>
      <c r="BJ21" s="52"/>
      <c r="BK21" s="52"/>
      <c r="BL21" s="52"/>
      <c r="BN21" s="52"/>
      <c r="BO21" s="282"/>
      <c r="BP21" s="52"/>
      <c r="BQ21" s="52"/>
      <c r="BR21" s="52"/>
      <c r="BS21" s="52"/>
      <c r="BT21" s="52"/>
      <c r="BU21" s="52"/>
      <c r="BV21" s="52"/>
      <c r="BW21" s="52"/>
      <c r="BX21" s="52"/>
      <c r="BY21" s="52"/>
      <c r="BZ21" s="52"/>
      <c r="CA21" s="52"/>
      <c r="CB21" s="52"/>
      <c r="CD21" s="52"/>
      <c r="CE21" s="52"/>
      <c r="CF21" s="52"/>
      <c r="CG21" s="52"/>
      <c r="CH21" s="52"/>
      <c r="CI21" s="52"/>
      <c r="CJ21" s="52"/>
      <c r="CK21" s="52"/>
      <c r="CL21" s="52"/>
      <c r="CM21" s="52"/>
      <c r="CN21" s="52"/>
      <c r="CO21" s="52"/>
      <c r="CP21" s="52"/>
      <c r="CQ21" s="52"/>
      <c r="CR21" s="52"/>
    </row>
    <row r="22" spans="1:96" s="1009" customFormat="1">
      <c r="A22" s="219" t="s">
        <v>342</v>
      </c>
      <c r="B22" s="516" t="s">
        <v>343</v>
      </c>
      <c r="C22" s="92"/>
      <c r="D22" s="89">
        <f t="shared" ref="D22:R22" si="12">(D15*INDEX($R$116:$R$126,D18,1)-INDEX($E$102:$Q$112,D18,D8))/D5</f>
        <v>0.17232685542191742</v>
      </c>
      <c r="E22" s="90">
        <f t="shared" si="12"/>
        <v>0.15079668132596494</v>
      </c>
      <c r="F22" s="91">
        <f t="shared" si="12"/>
        <v>0.26492506359695023</v>
      </c>
      <c r="G22" s="89">
        <f t="shared" si="12"/>
        <v>0.36449099131684154</v>
      </c>
      <c r="H22" s="90">
        <f t="shared" si="12"/>
        <v>0.382234758866629</v>
      </c>
      <c r="I22" s="91">
        <f t="shared" si="12"/>
        <v>0.4456081890245065</v>
      </c>
      <c r="J22" s="89">
        <f t="shared" si="12"/>
        <v>0.22151118186029947</v>
      </c>
      <c r="K22" s="90">
        <f t="shared" si="12"/>
        <v>0.21194139378720453</v>
      </c>
      <c r="L22" s="91">
        <f t="shared" si="12"/>
        <v>0.35687592590692191</v>
      </c>
      <c r="M22" s="89">
        <f t="shared" si="12"/>
        <v>0.29832216062752187</v>
      </c>
      <c r="N22" s="90">
        <f t="shared" si="12"/>
        <v>0.23229455652316247</v>
      </c>
      <c r="O22" s="91">
        <f t="shared" si="12"/>
        <v>0.35784621146769607</v>
      </c>
      <c r="P22" s="89">
        <f t="shared" si="12"/>
        <v>0.29832216062752187</v>
      </c>
      <c r="Q22" s="90">
        <f t="shared" si="12"/>
        <v>0.23229455652316247</v>
      </c>
      <c r="R22" s="91">
        <f t="shared" si="12"/>
        <v>0.35784621146769607</v>
      </c>
      <c r="S22" s="1159"/>
      <c r="T22" s="92"/>
      <c r="U22" s="1408">
        <f>VLOOKUP(U14,$T$68:$Z$70,7,FALSE)</f>
        <v>0.18182073919405287</v>
      </c>
      <c r="V22" s="1771">
        <f>VLOOKUP(V14,$T$68:$Z$70,7,FALSE)</f>
        <v>0.2181036894492302</v>
      </c>
      <c r="W22" s="1771">
        <f>VLOOKUP(W14,$T$68:$Z$70,7,FALSE)</f>
        <v>0.18182073919405287</v>
      </c>
      <c r="X22" s="1771">
        <f>VLOOKUP(X14,$T$68:$Z$70,7,FALSE)</f>
        <v>0.18330522948440425</v>
      </c>
      <c r="Y22" s="1771">
        <f>VLOOKUP(Y14,$T$68:$Z$70,7,FALSE)</f>
        <v>0.18330522948440425</v>
      </c>
      <c r="Z22" s="1409" t="s">
        <v>606</v>
      </c>
      <c r="AA22" s="92"/>
      <c r="AB22" s="324"/>
      <c r="AC22" s="92"/>
      <c r="AD22" s="92"/>
      <c r="AE22" s="92"/>
      <c r="AF22" s="277"/>
      <c r="AG22" s="324"/>
      <c r="AH22" s="277"/>
      <c r="AI22" s="324"/>
      <c r="AJ22" s="92"/>
      <c r="AK22" s="92"/>
      <c r="AL22" s="277"/>
      <c r="AM22" s="998"/>
      <c r="AN22" s="1116" t="s">
        <v>225</v>
      </c>
      <c r="AO22" s="266" t="s">
        <v>226</v>
      </c>
      <c r="AP22" s="1097">
        <v>41609</v>
      </c>
      <c r="AQ22" s="1112">
        <v>4.4600000000000001E-2</v>
      </c>
      <c r="AR22" s="1077" t="s">
        <v>230</v>
      </c>
      <c r="AS22" s="1076" t="s">
        <v>198</v>
      </c>
      <c r="AT22" s="1078" t="s">
        <v>233</v>
      </c>
      <c r="AU22" s="1060" t="s">
        <v>198</v>
      </c>
      <c r="AV22" s="1051"/>
      <c r="AX22" s="92"/>
      <c r="AY22" s="92"/>
      <c r="AZ22" s="92"/>
      <c r="BA22" s="92"/>
      <c r="BB22" s="92"/>
      <c r="BC22" s="92"/>
      <c r="BD22" s="92"/>
      <c r="BE22" s="92"/>
      <c r="BF22" s="92"/>
      <c r="BG22" s="92"/>
      <c r="BH22" s="92"/>
      <c r="BI22" s="92"/>
      <c r="BJ22" s="92"/>
      <c r="BK22" s="92"/>
      <c r="BL22" s="92"/>
      <c r="BN22" s="92"/>
      <c r="BO22" s="201"/>
      <c r="BP22" s="92"/>
      <c r="BQ22" s="92"/>
      <c r="BR22" s="92"/>
      <c r="BS22" s="92"/>
      <c r="BT22" s="92"/>
      <c r="BU22" s="92"/>
      <c r="BV22" s="92"/>
      <c r="BW22" s="92"/>
      <c r="BX22" s="92"/>
      <c r="BY22" s="92"/>
      <c r="BZ22" s="92"/>
      <c r="CA22" s="92"/>
      <c r="CB22" s="92"/>
      <c r="CD22" s="92"/>
      <c r="CE22" s="92"/>
      <c r="CF22" s="92"/>
      <c r="CG22" s="92"/>
      <c r="CH22" s="92"/>
      <c r="CI22" s="92"/>
      <c r="CJ22" s="92"/>
      <c r="CK22" s="92"/>
      <c r="CL22" s="92"/>
      <c r="CM22" s="92"/>
      <c r="CN22" s="92"/>
      <c r="CO22" s="92"/>
      <c r="CP22" s="92"/>
      <c r="CQ22" s="92"/>
      <c r="CR22" s="92"/>
    </row>
    <row r="23" spans="1:96" s="1009" customFormat="1">
      <c r="A23" s="219" t="s">
        <v>12</v>
      </c>
      <c r="B23" s="364" t="s">
        <v>147</v>
      </c>
      <c r="C23" s="92"/>
      <c r="D23" s="89">
        <f>D20*(1+(1-$S$20*D7)*D12)-D22*(1-$S$20*D7)*D12</f>
        <v>0.65662889301571847</v>
      </c>
      <c r="E23" s="90">
        <f t="shared" ref="E23:R23" si="13">E20*(1+(1-$S$20*E7)*E12)-E22*(1-$S$20*E7)*E12</f>
        <v>0.59537871849441082</v>
      </c>
      <c r="F23" s="91">
        <f t="shared" si="13"/>
        <v>0.66546174451607987</v>
      </c>
      <c r="G23" s="89">
        <f t="shared" si="13"/>
        <v>0.71257411825057959</v>
      </c>
      <c r="H23" s="90">
        <f t="shared" si="13"/>
        <v>0.65635293592153088</v>
      </c>
      <c r="I23" s="91">
        <f t="shared" si="13"/>
        <v>0.71804156276243969</v>
      </c>
      <c r="J23" s="89">
        <f>J20*(1+(1-$S$20*J7)*J12)-J22*(1-$S$20*J7)*J12</f>
        <v>0.78091896020463247</v>
      </c>
      <c r="K23" s="90">
        <f t="shared" si="13"/>
        <v>0.70980592960309963</v>
      </c>
      <c r="L23" s="91">
        <f t="shared" si="13"/>
        <v>0.76980893743450607</v>
      </c>
      <c r="M23" s="89">
        <f>M20*(1+(1-$S$20*M7)*M12)-M22*(1-$S$20*M7)*M12</f>
        <v>0.74420304748845612</v>
      </c>
      <c r="N23" s="90">
        <f t="shared" si="13"/>
        <v>0.70224867307197136</v>
      </c>
      <c r="O23" s="91">
        <f t="shared" si="13"/>
        <v>0.76928490384468762</v>
      </c>
      <c r="P23" s="89">
        <f>P20*(1+(1-$S$20*P7)*P12)-P22*(1-$S$20*P7)*P12</f>
        <v>0.74420304748845612</v>
      </c>
      <c r="Q23" s="90">
        <f t="shared" si="13"/>
        <v>0.70224867307197136</v>
      </c>
      <c r="R23" s="91">
        <f t="shared" si="13"/>
        <v>0.76928490384468762</v>
      </c>
      <c r="S23" s="1160"/>
      <c r="T23" s="73"/>
      <c r="U23" s="89">
        <f>U21*(1+U12)</f>
        <v>0.76470588235294124</v>
      </c>
      <c r="V23" s="155">
        <f>V21*(1+V12)</f>
        <v>0.83333333333333337</v>
      </c>
      <c r="W23" s="155">
        <f>W21*(1+W12)</f>
        <v>0.73333333333333339</v>
      </c>
      <c r="X23" s="155">
        <f>X21*(1+X12)</f>
        <v>0.7466666666666667</v>
      </c>
      <c r="Y23" s="155">
        <f>Y21*(1+Y12)</f>
        <v>0.73333333333333339</v>
      </c>
      <c r="Z23" s="387" t="s">
        <v>264</v>
      </c>
      <c r="AA23" s="421"/>
      <c r="AB23" s="89">
        <f>AB20*(1+AB12)</f>
        <v>0.61538461538461542</v>
      </c>
      <c r="AC23" s="155">
        <f>AC20*(1+AC12)</f>
        <v>0.72727272727272729</v>
      </c>
      <c r="AD23" s="155">
        <f>AD20*(1+AD12)</f>
        <v>0.53333333333333333</v>
      </c>
      <c r="AE23" s="155">
        <f>AE20*(1+AE12)</f>
        <v>0.54666666666666663</v>
      </c>
      <c r="AF23" s="357">
        <f>AF20*(1+AF12)</f>
        <v>0.66666666666666663</v>
      </c>
      <c r="AG23" s="73"/>
      <c r="AH23" s="387"/>
      <c r="AI23" s="314">
        <f>D23-U23</f>
        <v>-0.10807698933722276</v>
      </c>
      <c r="AJ23" s="155">
        <f>J23-V23</f>
        <v>-5.2414373128700897E-2</v>
      </c>
      <c r="AK23" s="155">
        <f>P23-Y23</f>
        <v>1.0869714155122723E-2</v>
      </c>
      <c r="AL23" s="366">
        <f>M23-X23</f>
        <v>-2.4636191782105854E-3</v>
      </c>
      <c r="AM23" s="1117"/>
      <c r="AN23" s="316"/>
      <c r="AO23" s="92"/>
      <c r="AP23" s="92"/>
      <c r="AQ23" s="92"/>
      <c r="AR23" s="92"/>
      <c r="AS23" s="92"/>
      <c r="AT23" s="92"/>
      <c r="AU23" s="1062"/>
      <c r="AV23" s="1062"/>
      <c r="AX23" s="92"/>
      <c r="AY23" s="92"/>
      <c r="AZ23" s="92"/>
      <c r="BA23" s="92"/>
      <c r="BB23" s="92"/>
      <c r="BC23" s="92"/>
      <c r="BD23" s="92"/>
      <c r="BE23" s="92"/>
      <c r="BF23" s="92"/>
      <c r="BG23" s="92"/>
      <c r="BH23" s="92"/>
      <c r="BI23" s="92"/>
      <c r="BJ23" s="92"/>
      <c r="BK23" s="92"/>
      <c r="BL23" s="92"/>
      <c r="BN23" s="92"/>
      <c r="BO23" s="201"/>
      <c r="BP23" s="92"/>
      <c r="BQ23" s="92"/>
      <c r="BR23" s="92"/>
      <c r="BS23" s="92"/>
      <c r="BT23" s="92"/>
      <c r="BU23" s="92"/>
      <c r="BV23" s="92"/>
      <c r="BW23" s="92"/>
      <c r="BX23" s="92"/>
      <c r="BY23" s="92"/>
      <c r="BZ23" s="92"/>
      <c r="CA23" s="92"/>
      <c r="CB23" s="92"/>
      <c r="CD23" s="92"/>
      <c r="CE23" s="92"/>
      <c r="CF23" s="92"/>
      <c r="CG23" s="92"/>
      <c r="CH23" s="92"/>
      <c r="CI23" s="92"/>
      <c r="CJ23" s="92"/>
      <c r="CK23" s="92"/>
      <c r="CL23" s="92"/>
      <c r="CM23" s="92"/>
      <c r="CN23" s="92"/>
      <c r="CO23" s="92"/>
      <c r="CP23" s="92"/>
      <c r="CQ23" s="92"/>
      <c r="CR23" s="92"/>
    </row>
    <row r="24" spans="1:96" s="1009" customFormat="1">
      <c r="A24" s="220" t="s">
        <v>179</v>
      </c>
      <c r="B24" s="737" t="s">
        <v>305</v>
      </c>
      <c r="C24" s="431" t="s">
        <v>176</v>
      </c>
      <c r="D24" s="85">
        <f>D94*$S$24+D23*(1-$S$24)</f>
        <v>0.8</v>
      </c>
      <c r="E24" s="680">
        <f t="shared" ref="E24:R24" si="14">E94*$S$24+E23*(1-$S$24)</f>
        <v>0.70000000000000007</v>
      </c>
      <c r="F24" s="680">
        <f t="shared" si="14"/>
        <v>0.9</v>
      </c>
      <c r="G24" s="85">
        <f t="shared" si="14"/>
        <v>0.8</v>
      </c>
      <c r="H24" s="680">
        <f t="shared" si="14"/>
        <v>0.70000000000000007</v>
      </c>
      <c r="I24" s="680">
        <f t="shared" si="14"/>
        <v>0.9</v>
      </c>
      <c r="J24" s="86">
        <f t="shared" si="14"/>
        <v>0.8</v>
      </c>
      <c r="K24" s="680">
        <f t="shared" si="14"/>
        <v>0.70000000000000007</v>
      </c>
      <c r="L24" s="680">
        <f t="shared" si="14"/>
        <v>0.9</v>
      </c>
      <c r="M24" s="85">
        <f t="shared" si="14"/>
        <v>0.8</v>
      </c>
      <c r="N24" s="680">
        <f t="shared" si="14"/>
        <v>0.70000000000000007</v>
      </c>
      <c r="O24" s="680">
        <f t="shared" si="14"/>
        <v>0.9</v>
      </c>
      <c r="P24" s="86">
        <f t="shared" si="14"/>
        <v>0.8</v>
      </c>
      <c r="Q24" s="680">
        <f t="shared" si="14"/>
        <v>0.70000000000000007</v>
      </c>
      <c r="R24" s="680">
        <f t="shared" si="14"/>
        <v>0.9</v>
      </c>
      <c r="S24" s="1156">
        <f>IF($C$24="Yes",1,0)</f>
        <v>1</v>
      </c>
      <c r="T24" s="73"/>
      <c r="U24" s="89"/>
      <c r="V24" s="155"/>
      <c r="W24" s="155"/>
      <c r="X24" s="155"/>
      <c r="Y24" s="155"/>
      <c r="Z24" s="276"/>
      <c r="AA24" s="421"/>
      <c r="AB24" s="89"/>
      <c r="AC24" s="155"/>
      <c r="AD24" s="155"/>
      <c r="AE24" s="155"/>
      <c r="AF24" s="357"/>
      <c r="AG24" s="73"/>
      <c r="AH24" s="276"/>
      <c r="AI24" s="715">
        <f>D24-U23</f>
        <v>3.5294117647058809E-2</v>
      </c>
      <c r="AJ24" s="430">
        <f>J24-V23</f>
        <v>-3.3333333333333326E-2</v>
      </c>
      <c r="AK24" s="430">
        <f>P24-Y23</f>
        <v>6.6666666666666652E-2</v>
      </c>
      <c r="AL24" s="377">
        <f>M24-X23</f>
        <v>5.3333333333333344E-2</v>
      </c>
      <c r="AM24" s="1089"/>
      <c r="AN24" s="178" t="s">
        <v>433</v>
      </c>
      <c r="AO24" s="1068"/>
      <c r="AP24" s="1068"/>
      <c r="AQ24" s="1069" t="s">
        <v>431</v>
      </c>
      <c r="AR24" s="1070" t="s">
        <v>432</v>
      </c>
      <c r="AS24" s="159" t="s">
        <v>463</v>
      </c>
      <c r="AT24" s="1194"/>
      <c r="AU24" s="31" t="s">
        <v>434</v>
      </c>
      <c r="AV24" s="31"/>
      <c r="AX24" s="92"/>
      <c r="AY24" s="92"/>
      <c r="AZ24" s="92"/>
      <c r="BA24" s="92"/>
      <c r="BB24" s="92"/>
      <c r="BC24" s="92"/>
      <c r="BD24" s="92"/>
      <c r="BE24" s="92"/>
      <c r="BF24" s="92"/>
      <c r="BG24" s="92"/>
      <c r="BH24" s="92"/>
      <c r="BI24" s="92"/>
      <c r="BJ24" s="92"/>
      <c r="BK24" s="92"/>
      <c r="BL24" s="92"/>
      <c r="BN24" s="92"/>
      <c r="BO24" s="201"/>
      <c r="BP24" s="92"/>
      <c r="BQ24" s="92"/>
      <c r="BR24" s="92"/>
      <c r="BS24" s="92"/>
      <c r="BT24" s="92"/>
      <c r="BU24" s="92"/>
      <c r="BV24" s="92"/>
      <c r="BW24" s="92"/>
      <c r="BX24" s="92"/>
      <c r="BY24" s="92"/>
      <c r="BZ24" s="92"/>
      <c r="CA24" s="92"/>
      <c r="CB24" s="92"/>
      <c r="CD24" s="92"/>
      <c r="CE24" s="92"/>
      <c r="CF24" s="92"/>
      <c r="CG24" s="92"/>
      <c r="CH24" s="92"/>
      <c r="CI24" s="92"/>
      <c r="CJ24" s="92"/>
      <c r="CK24" s="92"/>
      <c r="CL24" s="92"/>
      <c r="CM24" s="92"/>
      <c r="CN24" s="92"/>
      <c r="CO24" s="92"/>
      <c r="CP24" s="92"/>
      <c r="CQ24" s="92"/>
      <c r="CR24" s="92"/>
    </row>
    <row r="25" spans="1:96" s="1009" customFormat="1">
      <c r="A25" s="219" t="s">
        <v>13</v>
      </c>
      <c r="B25" s="358" t="s">
        <v>366</v>
      </c>
      <c r="C25" s="239"/>
      <c r="D25" s="99">
        <f t="shared" ref="D25:R25" si="15">D3+D24*D4+D23*D5</f>
        <v>6.6788316777863094E-2</v>
      </c>
      <c r="E25" s="57">
        <f t="shared" si="15"/>
        <v>5.6637032572768684E-2</v>
      </c>
      <c r="F25" s="128">
        <f t="shared" si="15"/>
        <v>7.9193812236812114E-2</v>
      </c>
      <c r="G25" s="99">
        <f t="shared" si="15"/>
        <v>6.980123520364051E-2</v>
      </c>
      <c r="H25" s="57">
        <f t="shared" si="15"/>
        <v>5.9768350779629137E-2</v>
      </c>
      <c r="I25" s="128">
        <f t="shared" si="15"/>
        <v>8.2156936917409329E-2</v>
      </c>
      <c r="J25" s="99">
        <f t="shared" si="15"/>
        <v>7.3481932399259237E-2</v>
      </c>
      <c r="K25" s="57">
        <f t="shared" si="15"/>
        <v>6.2513418111183716E-2</v>
      </c>
      <c r="L25" s="128">
        <f t="shared" si="15"/>
        <v>8.5074276509984698E-2</v>
      </c>
      <c r="M25" s="99">
        <f t="shared" si="15"/>
        <v>7.1504604584822773E-2</v>
      </c>
      <c r="N25" s="57">
        <f t="shared" si="15"/>
        <v>6.2125316779696821E-2</v>
      </c>
      <c r="O25" s="128">
        <f t="shared" si="15"/>
        <v>8.5044744706428865E-2</v>
      </c>
      <c r="P25" s="99">
        <f t="shared" si="15"/>
        <v>7.1504604584822773E-2</v>
      </c>
      <c r="Q25" s="57">
        <f t="shared" si="15"/>
        <v>6.2125316779696821E-2</v>
      </c>
      <c r="R25" s="128">
        <f t="shared" si="15"/>
        <v>8.5044744706428865E-2</v>
      </c>
      <c r="S25" s="1161"/>
      <c r="T25" s="73"/>
      <c r="U25" s="699">
        <f>U3+U23*U5</f>
        <v>8.0147058823529405E-2</v>
      </c>
      <c r="V25" s="701">
        <f>V3+V23*V5</f>
        <v>8.3749999999999991E-2</v>
      </c>
      <c r="W25" s="701">
        <f>W3+W23*W5</f>
        <v>7.85E-2</v>
      </c>
      <c r="X25" s="701">
        <f>X3+X23*X5</f>
        <v>7.9199999999999993E-2</v>
      </c>
      <c r="Y25" s="701">
        <f>Y3+Y23*Y5</f>
        <v>7.85E-2</v>
      </c>
      <c r="Z25" s="426" t="s">
        <v>265</v>
      </c>
      <c r="AA25" s="421"/>
      <c r="AB25" s="699">
        <f>AB3+AB23*AB5</f>
        <v>7.2846153846153838E-2</v>
      </c>
      <c r="AC25" s="701">
        <f>AC3+AC23*AC5</f>
        <v>7.9000000000000001E-2</v>
      </c>
      <c r="AD25" s="701">
        <f>AD3+AD23*AD5</f>
        <v>6.8333333333333329E-2</v>
      </c>
      <c r="AE25" s="701">
        <f>AE3+AE23*AE5</f>
        <v>6.9066666666666665E-2</v>
      </c>
      <c r="AF25" s="809">
        <f>AF3+AF23*AF5</f>
        <v>7.566666666666666E-2</v>
      </c>
      <c r="AG25" s="73"/>
      <c r="AH25" s="426"/>
      <c r="AI25" s="99">
        <f>D25-U25</f>
        <v>-1.3358742045666311E-2</v>
      </c>
      <c r="AJ25" s="100">
        <f>J25-V25</f>
        <v>-1.0268067600740755E-2</v>
      </c>
      <c r="AK25" s="100">
        <f>P25-Y25</f>
        <v>-6.9953954151772274E-3</v>
      </c>
      <c r="AL25" s="83">
        <f>M25-X25</f>
        <v>-7.6953954151772197E-3</v>
      </c>
      <c r="AM25" s="1118"/>
      <c r="AN25" s="1062"/>
      <c r="AO25" s="1062"/>
      <c r="AP25" s="1062"/>
      <c r="AQ25" s="1062"/>
      <c r="AR25" s="1062"/>
      <c r="AS25" s="1062"/>
      <c r="AT25" s="1067"/>
      <c r="AU25" s="1066" t="s">
        <v>440</v>
      </c>
      <c r="AV25" s="1062"/>
      <c r="AX25" s="92"/>
      <c r="AY25" s="92"/>
      <c r="AZ25" s="92"/>
      <c r="BA25" s="92"/>
      <c r="BB25" s="92"/>
      <c r="BC25" s="92"/>
      <c r="BD25" s="92"/>
      <c r="BE25" s="92"/>
      <c r="BF25" s="92"/>
      <c r="BG25" s="92"/>
      <c r="BH25" s="92"/>
      <c r="BI25" s="92"/>
      <c r="BJ25" s="92"/>
      <c r="BK25" s="92"/>
      <c r="BL25" s="92"/>
      <c r="BN25" s="92"/>
      <c r="BO25" s="201"/>
      <c r="BP25" s="92"/>
      <c r="BQ25" s="92"/>
      <c r="BR25" s="92"/>
      <c r="BS25" s="92"/>
      <c r="BT25" s="92"/>
      <c r="BU25" s="92"/>
      <c r="BV25" s="92"/>
      <c r="BW25" s="92"/>
      <c r="BX25" s="92"/>
      <c r="BY25" s="92"/>
      <c r="BZ25" s="92"/>
      <c r="CA25" s="92"/>
      <c r="CB25" s="92"/>
      <c r="CD25" s="92"/>
      <c r="CE25" s="92"/>
      <c r="CF25" s="92"/>
      <c r="CG25" s="92"/>
      <c r="CH25" s="92"/>
      <c r="CI25" s="92"/>
      <c r="CJ25" s="92"/>
      <c r="CK25" s="92"/>
      <c r="CL25" s="92"/>
      <c r="CM25" s="92"/>
      <c r="CN25" s="92"/>
      <c r="CO25" s="92"/>
      <c r="CP25" s="92"/>
      <c r="CQ25" s="92"/>
      <c r="CR25" s="92"/>
    </row>
    <row r="26" spans="1:96" s="1009" customFormat="1">
      <c r="A26" s="219"/>
      <c r="B26" s="659" t="s">
        <v>266</v>
      </c>
      <c r="C26" s="239"/>
      <c r="D26" s="99">
        <f t="shared" ref="D26:R26" si="16">D24*D4</f>
        <v>5.1225495045285653E-3</v>
      </c>
      <c r="E26" s="94">
        <f t="shared" si="16"/>
        <v>4.5178458343599556E-3</v>
      </c>
      <c r="F26" s="101">
        <f t="shared" si="16"/>
        <v>6.9006520133374953E-3</v>
      </c>
      <c r="G26" s="99">
        <f t="shared" si="16"/>
        <v>5.1225495045285653E-3</v>
      </c>
      <c r="H26" s="94">
        <f t="shared" si="16"/>
        <v>4.5178458343599556E-3</v>
      </c>
      <c r="I26" s="101">
        <f t="shared" si="16"/>
        <v>6.9006520133374953E-3</v>
      </c>
      <c r="J26" s="99">
        <f t="shared" si="16"/>
        <v>5.1225495045285653E-3</v>
      </c>
      <c r="K26" s="94">
        <f t="shared" si="16"/>
        <v>4.5178458343599556E-3</v>
      </c>
      <c r="L26" s="101">
        <f t="shared" si="16"/>
        <v>6.9006520133374953E-3</v>
      </c>
      <c r="M26" s="99">
        <f t="shared" si="16"/>
        <v>5.1225495045285653E-3</v>
      </c>
      <c r="N26" s="94">
        <f t="shared" si="16"/>
        <v>4.5178458343599556E-3</v>
      </c>
      <c r="O26" s="101">
        <f t="shared" si="16"/>
        <v>6.9006520133374953E-3</v>
      </c>
      <c r="P26" s="99">
        <f t="shared" si="16"/>
        <v>5.1225495045285653E-3</v>
      </c>
      <c r="Q26" s="94">
        <f t="shared" si="16"/>
        <v>4.5178458343599556E-3</v>
      </c>
      <c r="R26" s="101">
        <f t="shared" si="16"/>
        <v>6.9006520133374953E-3</v>
      </c>
      <c r="S26" s="1154"/>
      <c r="T26" s="73"/>
      <c r="U26" s="699"/>
      <c r="V26" s="700"/>
      <c r="W26" s="701"/>
      <c r="X26" s="701"/>
      <c r="Y26" s="700"/>
      <c r="Z26" s="356"/>
      <c r="AA26" s="421"/>
      <c r="AB26" s="699"/>
      <c r="AC26" s="701"/>
      <c r="AD26" s="701"/>
      <c r="AE26" s="701"/>
      <c r="AF26" s="809"/>
      <c r="AG26" s="73"/>
      <c r="AH26" s="356"/>
      <c r="AI26" s="717">
        <f>AI25-D26</f>
        <v>-1.8481291550194876E-2</v>
      </c>
      <c r="AJ26" s="1024">
        <f>AJ25-J26</f>
        <v>-1.539061710526932E-2</v>
      </c>
      <c r="AK26" s="1024">
        <f>AK25-P26</f>
        <v>-1.2117944919705793E-2</v>
      </c>
      <c r="AL26" s="718">
        <f>AL25-M26</f>
        <v>-1.2817944919705785E-2</v>
      </c>
      <c r="AM26" s="998"/>
      <c r="AN26" s="1062"/>
      <c r="AO26" s="1062"/>
      <c r="AP26" s="1062"/>
      <c r="AQ26" s="1062"/>
      <c r="AR26" s="1062"/>
      <c r="AS26" s="1062"/>
      <c r="AT26" s="1062"/>
      <c r="AU26" s="1062"/>
      <c r="AV26" s="1062"/>
      <c r="AX26" s="92"/>
      <c r="AY26" s="92"/>
      <c r="AZ26" s="92"/>
      <c r="BA26" s="92"/>
      <c r="BB26" s="92"/>
      <c r="BC26" s="92"/>
      <c r="BD26" s="92"/>
      <c r="BE26" s="92"/>
      <c r="BF26" s="92"/>
      <c r="BG26" s="92"/>
      <c r="BH26" s="92"/>
      <c r="BI26" s="92"/>
      <c r="BJ26" s="92"/>
      <c r="BK26" s="92"/>
      <c r="BL26" s="92"/>
      <c r="BN26" s="92"/>
      <c r="BO26" s="201"/>
      <c r="BP26" s="92"/>
      <c r="BQ26" s="92"/>
      <c r="BR26" s="92"/>
      <c r="BS26" s="92"/>
      <c r="BT26" s="92"/>
      <c r="BU26" s="92"/>
      <c r="BV26" s="92"/>
      <c r="BW26" s="92"/>
      <c r="BX26" s="92"/>
      <c r="BY26" s="92"/>
      <c r="BZ26" s="92"/>
      <c r="CA26" s="92"/>
      <c r="CB26" s="92"/>
      <c r="CD26" s="92"/>
      <c r="CE26" s="92"/>
      <c r="CF26" s="92"/>
      <c r="CG26" s="92"/>
      <c r="CH26" s="92"/>
      <c r="CI26" s="92"/>
      <c r="CJ26" s="92"/>
      <c r="CK26" s="92"/>
      <c r="CL26" s="92"/>
      <c r="CM26" s="92"/>
      <c r="CN26" s="92"/>
      <c r="CO26" s="92"/>
      <c r="CP26" s="92"/>
      <c r="CQ26" s="92"/>
      <c r="CR26" s="92"/>
    </row>
    <row r="27" spans="1:96">
      <c r="A27" s="220"/>
      <c r="B27" s="358"/>
      <c r="C27" s="239"/>
      <c r="D27" s="96"/>
      <c r="E27" s="730"/>
      <c r="F27" s="731"/>
      <c r="G27" s="96"/>
      <c r="H27" s="730"/>
      <c r="I27" s="731"/>
      <c r="J27" s="96"/>
      <c r="K27" s="730"/>
      <c r="L27" s="731"/>
      <c r="M27" s="96"/>
      <c r="N27" s="730"/>
      <c r="O27" s="731"/>
      <c r="P27" s="96"/>
      <c r="Q27" s="730"/>
      <c r="R27" s="731"/>
      <c r="S27" s="1162"/>
      <c r="T27" s="73"/>
      <c r="U27" s="375"/>
      <c r="V27" s="700"/>
      <c r="W27" s="701"/>
      <c r="X27" s="701"/>
      <c r="Y27" s="700"/>
      <c r="Z27" s="356"/>
      <c r="AA27" s="421"/>
      <c r="AB27" s="699"/>
      <c r="AC27" s="701"/>
      <c r="AD27" s="701"/>
      <c r="AE27" s="701"/>
      <c r="AF27" s="809"/>
      <c r="AG27" s="73"/>
      <c r="AH27" s="356"/>
      <c r="AI27" s="1703"/>
      <c r="AJ27" s="196" t="s">
        <v>592</v>
      </c>
      <c r="AK27" s="1704"/>
      <c r="AL27" s="724"/>
      <c r="AM27" s="1089"/>
      <c r="AN27" s="1093" t="s">
        <v>441</v>
      </c>
      <c r="AO27" s="301"/>
      <c r="AP27" s="301"/>
      <c r="AQ27" s="301"/>
      <c r="AR27" s="301"/>
      <c r="AS27" s="301"/>
      <c r="AT27" s="302"/>
      <c r="AU27" s="1063"/>
      <c r="AV27" s="1064"/>
      <c r="AX27" s="48"/>
      <c r="AY27" s="48"/>
      <c r="AZ27" s="48"/>
      <c r="BA27" s="48"/>
      <c r="BB27" s="48"/>
      <c r="BC27" s="48"/>
      <c r="BD27" s="48"/>
      <c r="BE27" s="48"/>
      <c r="BF27" s="48"/>
      <c r="BG27" s="48"/>
      <c r="BH27" s="48"/>
      <c r="BI27" s="48"/>
      <c r="BJ27" s="48"/>
      <c r="BK27" s="48"/>
      <c r="BL27" s="48"/>
      <c r="BN27" s="48"/>
      <c r="BO27" s="201"/>
      <c r="BP27" s="48"/>
      <c r="BQ27" s="48"/>
      <c r="BR27" s="48"/>
      <c r="BS27" s="48"/>
      <c r="BT27" s="48"/>
      <c r="BU27" s="48"/>
      <c r="BV27" s="48"/>
      <c r="BW27" s="48"/>
      <c r="BX27" s="48"/>
      <c r="BY27" s="48"/>
      <c r="BZ27" s="48"/>
      <c r="CA27" s="48"/>
      <c r="CB27" s="48"/>
      <c r="CD27" s="48"/>
      <c r="CE27" s="48"/>
      <c r="CF27" s="48"/>
      <c r="CG27" s="48"/>
      <c r="CH27" s="48"/>
      <c r="CI27" s="48"/>
      <c r="CJ27" s="48"/>
      <c r="CK27" s="48"/>
      <c r="CL27" s="48"/>
      <c r="CM27" s="48"/>
      <c r="CN27" s="48"/>
      <c r="CO27" s="48"/>
      <c r="CP27" s="48"/>
      <c r="CQ27" s="48"/>
      <c r="CR27" s="48"/>
    </row>
    <row r="28" spans="1:96" s="1005" customFormat="1">
      <c r="A28" s="733" t="s">
        <v>17</v>
      </c>
      <c r="B28" s="827" t="s">
        <v>252</v>
      </c>
      <c r="C28" s="827"/>
      <c r="D28" s="828">
        <f t="shared" ref="D28:R28" si="17">(1-D11)/(1-D7)*D25+D11*D17</f>
        <v>7.5561599515164946E-2</v>
      </c>
      <c r="E28" s="94">
        <f t="shared" si="17"/>
        <v>6.7034361084952365E-2</v>
      </c>
      <c r="F28" s="101">
        <f t="shared" si="17"/>
        <v>9.0818623739927648E-2</v>
      </c>
      <c r="G28" s="829">
        <f t="shared" si="17"/>
        <v>9.4865666777512681E-2</v>
      </c>
      <c r="H28" s="94">
        <f t="shared" si="17"/>
        <v>8.4515024717211173E-2</v>
      </c>
      <c r="I28" s="101">
        <f t="shared" si="17"/>
        <v>0.11641436792582838</v>
      </c>
      <c r="J28" s="744">
        <f>(1-J11)/(1-J7)*J25+J11*J17</f>
        <v>8.3234621766303626E-2</v>
      </c>
      <c r="K28" s="94">
        <f t="shared" si="17"/>
        <v>7.3994360893241809E-2</v>
      </c>
      <c r="L28" s="101">
        <f t="shared" si="17"/>
        <v>9.9694505525002197E-2</v>
      </c>
      <c r="M28" s="829">
        <f t="shared" si="17"/>
        <v>8.4153230361328463E-2</v>
      </c>
      <c r="N28" s="94">
        <f t="shared" si="17"/>
        <v>7.4522498112560981E-2</v>
      </c>
      <c r="O28" s="101">
        <f t="shared" si="17"/>
        <v>0.10375777107295484</v>
      </c>
      <c r="P28" s="744">
        <f t="shared" si="17"/>
        <v>8.4153230361328463E-2</v>
      </c>
      <c r="Q28" s="94">
        <f t="shared" si="17"/>
        <v>7.4522498112560981E-2</v>
      </c>
      <c r="R28" s="101">
        <f t="shared" si="17"/>
        <v>0.10375777107295484</v>
      </c>
      <c r="S28" s="1155"/>
      <c r="T28" s="73"/>
      <c r="U28" s="830">
        <f>(1-U11)/(1-U7)*U25+U11*U17</f>
        <v>0.10016324799272837</v>
      </c>
      <c r="V28" s="752">
        <f>(1-V11)/(1-V7)*V25+V11*V17</f>
        <v>9.8924829571277073E-2</v>
      </c>
      <c r="W28" s="831">
        <f>(1-W11)/(1-W7)*W25+W11*W17</f>
        <v>0.10294103166186941</v>
      </c>
      <c r="X28" s="831">
        <f>(1-X11)/(1-X7)*X25+X11*X17</f>
        <v>0.10373636570216634</v>
      </c>
      <c r="Y28" s="752">
        <f>(1-Y11)/(1-Y7)*Y25+Y11*Y17</f>
        <v>0.10294103166186941</v>
      </c>
      <c r="Z28" s="427" t="s">
        <v>259</v>
      </c>
      <c r="AA28" s="419"/>
      <c r="AB28" s="832">
        <f>(1-AB11)/(1-AB7)*AB25+AB11*AB17</f>
        <v>9.1681555824875013E-2</v>
      </c>
      <c r="AC28" s="833">
        <f>(1-AC11)/(1-AC7)*AC25+AC11*AC17</f>
        <v>9.1473360096955003E-2</v>
      </c>
      <c r="AD28" s="834">
        <f>(1-AD11)/(1-AD7)*AD25+AD11*AD17</f>
        <v>9.1889751552795024E-2</v>
      </c>
      <c r="AE28" s="834">
        <f>(1-AE11)/(1-AE7)*AE25+AE11*AE17</f>
        <v>9.2722958642629902E-2</v>
      </c>
      <c r="AF28" s="835">
        <f>(1-AF11)/(1-AF7)*AF25+AF11*AF17</f>
        <v>0.10022182245114376</v>
      </c>
      <c r="AG28" s="668"/>
      <c r="AH28" s="427"/>
      <c r="AI28" s="829">
        <f>D28-U28</f>
        <v>-2.4601648477563423E-2</v>
      </c>
      <c r="AJ28" s="866">
        <f>J28-V28</f>
        <v>-1.5690207804973447E-2</v>
      </c>
      <c r="AK28" s="866">
        <f>P28-Y28</f>
        <v>-1.8787801300540946E-2</v>
      </c>
      <c r="AL28" s="836">
        <f>M28-X28</f>
        <v>-1.9583135340837873E-2</v>
      </c>
      <c r="AM28" s="1089"/>
      <c r="AN28" s="1096" t="s">
        <v>442</v>
      </c>
      <c r="AO28" s="92"/>
      <c r="AP28" s="92"/>
      <c r="AQ28" s="92"/>
      <c r="AR28" s="92"/>
      <c r="AS28" s="92"/>
      <c r="AT28" s="92"/>
      <c r="AU28" s="92"/>
      <c r="AV28" s="303"/>
      <c r="AX28" s="414"/>
      <c r="AY28" s="41"/>
      <c r="AZ28" s="41"/>
      <c r="BA28" s="41"/>
      <c r="BB28" s="41"/>
      <c r="BC28" s="41"/>
      <c r="BD28" s="41"/>
      <c r="BE28" s="41"/>
      <c r="BF28" s="41"/>
      <c r="BG28" s="41"/>
      <c r="BH28" s="41"/>
      <c r="BI28" s="41"/>
      <c r="BJ28" s="41"/>
      <c r="BK28" s="41"/>
      <c r="BL28" s="41"/>
      <c r="BN28" s="414"/>
      <c r="BO28" s="201"/>
      <c r="BP28" s="41"/>
      <c r="BQ28" s="41"/>
      <c r="BR28" s="41"/>
      <c r="BS28" s="41"/>
      <c r="BT28" s="41"/>
      <c r="BU28" s="41"/>
      <c r="BV28" s="41"/>
      <c r="BW28" s="41"/>
      <c r="BX28" s="41"/>
      <c r="BY28" s="41"/>
      <c r="BZ28" s="41"/>
      <c r="CA28" s="41"/>
      <c r="CB28" s="41"/>
      <c r="CD28" s="414"/>
      <c r="CE28" s="41"/>
      <c r="CF28" s="41"/>
      <c r="CG28" s="41"/>
      <c r="CH28" s="41"/>
      <c r="CI28" s="41"/>
      <c r="CJ28" s="41"/>
      <c r="CK28" s="41"/>
      <c r="CL28" s="414"/>
      <c r="CM28" s="41"/>
      <c r="CN28" s="41"/>
      <c r="CO28" s="41"/>
      <c r="CP28" s="41"/>
      <c r="CQ28" s="41"/>
      <c r="CR28" s="41"/>
    </row>
    <row r="29" spans="1:96" s="1005" customFormat="1" ht="12.75" customHeight="1">
      <c r="A29" s="219"/>
      <c r="B29" s="667" t="s">
        <v>377</v>
      </c>
      <c r="C29" s="660"/>
      <c r="D29" s="99"/>
      <c r="E29" s="94"/>
      <c r="F29" s="101"/>
      <c r="G29" s="99"/>
      <c r="H29" s="94"/>
      <c r="I29" s="101"/>
      <c r="J29" s="99"/>
      <c r="K29" s="94"/>
      <c r="L29" s="101"/>
      <c r="M29" s="99"/>
      <c r="N29" s="94"/>
      <c r="O29" s="101"/>
      <c r="P29" s="744">
        <f>P28-J28</f>
        <v>9.1860859502483627E-4</v>
      </c>
      <c r="Q29" s="94">
        <f>Q28-K28</f>
        <v>5.281372193191719E-4</v>
      </c>
      <c r="R29" s="101">
        <f>R28-L28</f>
        <v>4.0632655479526381E-3</v>
      </c>
      <c r="S29" s="1160"/>
      <c r="T29" s="73"/>
      <c r="U29" s="732"/>
      <c r="V29" s="704"/>
      <c r="W29" s="704"/>
      <c r="X29" s="704"/>
      <c r="Y29" s="802">
        <f>Y28-V28</f>
        <v>4.0162020905923357E-3</v>
      </c>
      <c r="Z29" s="825" t="s">
        <v>379</v>
      </c>
      <c r="AA29" s="216"/>
      <c r="AB29" s="732"/>
      <c r="AC29" s="704"/>
      <c r="AD29" s="704"/>
      <c r="AE29" s="704"/>
      <c r="AF29" s="817">
        <f>AF28-AC28</f>
        <v>8.7484623541887602E-3</v>
      </c>
      <c r="AG29" s="73"/>
      <c r="AH29" s="355"/>
      <c r="AI29" s="99"/>
      <c r="AJ29" s="826"/>
      <c r="AK29" s="866">
        <f>AK28-AJ28</f>
        <v>-3.0975934955674994E-3</v>
      </c>
      <c r="AL29" s="83"/>
      <c r="AM29" s="1090"/>
      <c r="AN29" s="1815" t="s">
        <v>461</v>
      </c>
      <c r="AO29" s="1816"/>
      <c r="AP29" s="1816"/>
      <c r="AQ29" s="1816"/>
      <c r="AR29" s="1816"/>
      <c r="AS29" s="1816"/>
      <c r="AT29" s="1816"/>
      <c r="AU29" s="1816"/>
      <c r="AV29" s="1817"/>
      <c r="AX29" s="201"/>
      <c r="AY29" s="201"/>
      <c r="AZ29" s="201"/>
      <c r="BA29" s="201"/>
      <c r="BB29" s="201"/>
      <c r="BC29" s="197"/>
      <c r="BD29" s="197"/>
      <c r="BE29" s="197"/>
      <c r="BF29" s="197"/>
      <c r="BG29" s="197"/>
      <c r="BH29" s="197"/>
      <c r="BI29" s="197"/>
      <c r="BJ29" s="197"/>
      <c r="BK29" s="197"/>
      <c r="BL29" s="197"/>
      <c r="BM29" s="1143"/>
      <c r="BN29" s="201"/>
      <c r="BO29" s="201"/>
      <c r="BP29" s="41"/>
      <c r="BQ29" s="41"/>
      <c r="BR29" s="41"/>
      <c r="BS29" s="41"/>
      <c r="BT29" s="41"/>
      <c r="BU29" s="41"/>
      <c r="BV29" s="41"/>
      <c r="BW29" s="41"/>
      <c r="BX29" s="41"/>
      <c r="BY29" s="41"/>
      <c r="BZ29" s="41"/>
      <c r="CA29" s="41"/>
      <c r="CB29" s="41"/>
      <c r="CD29" s="414"/>
      <c r="CE29" s="41"/>
      <c r="CF29" s="41"/>
      <c r="CG29" s="41"/>
      <c r="CH29" s="41"/>
      <c r="CI29" s="41"/>
      <c r="CJ29" s="41"/>
      <c r="CK29" s="41"/>
      <c r="CL29" s="1199" t="s">
        <v>481</v>
      </c>
      <c r="CM29" s="41"/>
      <c r="CN29" s="41"/>
      <c r="CO29" s="41"/>
      <c r="CP29" s="41"/>
      <c r="CQ29" s="41"/>
      <c r="CR29" s="41"/>
    </row>
    <row r="30" spans="1:96" ht="13.15" customHeight="1">
      <c r="A30" s="221"/>
      <c r="B30" s="517"/>
      <c r="C30" s="518"/>
      <c r="D30" s="99"/>
      <c r="E30" s="681" t="s">
        <v>136</v>
      </c>
      <c r="F30" s="682" t="s">
        <v>135</v>
      </c>
      <c r="G30" s="674"/>
      <c r="H30" s="681" t="s">
        <v>136</v>
      </c>
      <c r="I30" s="682" t="s">
        <v>135</v>
      </c>
      <c r="J30" s="674"/>
      <c r="K30" s="681" t="s">
        <v>136</v>
      </c>
      <c r="L30" s="682" t="s">
        <v>135</v>
      </c>
      <c r="M30" s="674"/>
      <c r="N30" s="681" t="s">
        <v>136</v>
      </c>
      <c r="O30" s="682" t="s">
        <v>135</v>
      </c>
      <c r="P30" s="674"/>
      <c r="Q30" s="681" t="s">
        <v>136</v>
      </c>
      <c r="R30" s="682" t="s">
        <v>135</v>
      </c>
      <c r="S30" s="1161"/>
      <c r="T30" s="73"/>
      <c r="U30" s="702"/>
      <c r="V30" s="703"/>
      <c r="W30" s="704"/>
      <c r="X30" s="704"/>
      <c r="Y30" s="703"/>
      <c r="Z30" s="355"/>
      <c r="AA30" s="216"/>
      <c r="AB30" s="732"/>
      <c r="AC30" s="704"/>
      <c r="AD30" s="704"/>
      <c r="AE30" s="704"/>
      <c r="AF30" s="818"/>
      <c r="AG30" s="73"/>
      <c r="AH30" s="355"/>
      <c r="AI30" s="299"/>
      <c r="AJ30" s="100"/>
      <c r="AK30" s="100"/>
      <c r="AL30" s="355"/>
      <c r="AM30" s="1089"/>
      <c r="AN30" s="1818"/>
      <c r="AO30" s="1816"/>
      <c r="AP30" s="1816"/>
      <c r="AQ30" s="1816"/>
      <c r="AR30" s="1816"/>
      <c r="AS30" s="1816"/>
      <c r="AT30" s="1816"/>
      <c r="AU30" s="1816"/>
      <c r="AV30" s="1817"/>
      <c r="AX30" s="201"/>
      <c r="AY30" s="201"/>
      <c r="AZ30" s="201"/>
      <c r="BA30" s="201"/>
      <c r="BB30" s="201"/>
      <c r="BC30" s="201"/>
      <c r="BD30" s="48"/>
      <c r="BE30" s="48"/>
      <c r="BF30" s="48"/>
      <c r="BG30" s="48"/>
      <c r="BH30" s="48"/>
      <c r="BI30" s="48"/>
      <c r="BJ30" s="48"/>
      <c r="BK30" s="48"/>
      <c r="BL30" s="48"/>
      <c r="BN30" s="48"/>
      <c r="BO30" s="48"/>
      <c r="BP30" s="48"/>
      <c r="BQ30" s="48"/>
      <c r="BR30" s="48"/>
      <c r="BS30" s="48"/>
      <c r="BT30" s="48"/>
      <c r="BU30" s="48"/>
      <c r="BV30" s="48"/>
      <c r="BW30" s="48"/>
      <c r="BX30" s="48"/>
      <c r="BY30" s="48"/>
      <c r="BZ30" s="48"/>
      <c r="CA30" s="48"/>
      <c r="CB30" s="48"/>
      <c r="CD30" s="48"/>
      <c r="CE30" s="48"/>
      <c r="CF30" s="48"/>
      <c r="CG30" s="48"/>
      <c r="CH30" s="48"/>
      <c r="CI30" s="48"/>
      <c r="CJ30" s="48"/>
      <c r="CK30" s="48"/>
      <c r="CL30" s="48"/>
      <c r="CM30" s="48"/>
      <c r="CN30" s="48"/>
      <c r="CO30" s="48"/>
      <c r="CP30" s="48"/>
      <c r="CQ30" s="48"/>
      <c r="CR30" s="48"/>
    </row>
    <row r="31" spans="1:96">
      <c r="A31" s="221" t="s">
        <v>23</v>
      </c>
      <c r="B31" s="190" t="s">
        <v>4</v>
      </c>
      <c r="C31" s="191"/>
      <c r="D31" s="532">
        <f t="shared" ref="D31:I31" si="18">$J$31</f>
        <v>2.2699083104395609E-2</v>
      </c>
      <c r="E31" s="683">
        <f t="shared" si="18"/>
        <v>2.2699083104395609E-2</v>
      </c>
      <c r="F31" s="683">
        <f t="shared" si="18"/>
        <v>2.2699083104395609E-2</v>
      </c>
      <c r="G31" s="532">
        <f t="shared" si="18"/>
        <v>2.2699083104395609E-2</v>
      </c>
      <c r="H31" s="683">
        <f t="shared" si="18"/>
        <v>2.2699083104395609E-2</v>
      </c>
      <c r="I31" s="683">
        <f t="shared" si="18"/>
        <v>2.2699083104395609E-2</v>
      </c>
      <c r="J31" s="195">
        <f>$D$80/100</f>
        <v>2.2699083104395609E-2</v>
      </c>
      <c r="K31" s="683">
        <f t="shared" ref="K31:R31" si="19">$J$31</f>
        <v>2.2699083104395609E-2</v>
      </c>
      <c r="L31" s="683">
        <f t="shared" si="19"/>
        <v>2.2699083104395609E-2</v>
      </c>
      <c r="M31" s="532">
        <f t="shared" si="19"/>
        <v>2.2699083104395609E-2</v>
      </c>
      <c r="N31" s="683">
        <f t="shared" si="19"/>
        <v>2.2699083104395609E-2</v>
      </c>
      <c r="O31" s="683">
        <f t="shared" si="19"/>
        <v>2.2699083104395609E-2</v>
      </c>
      <c r="P31" s="532">
        <f t="shared" si="19"/>
        <v>2.2699083104395609E-2</v>
      </c>
      <c r="Q31" s="683">
        <f t="shared" si="19"/>
        <v>2.2699083104395609E-2</v>
      </c>
      <c r="R31" s="683">
        <f t="shared" si="19"/>
        <v>2.2699083104395609E-2</v>
      </c>
      <c r="S31" s="1154"/>
      <c r="T31" s="47"/>
      <c r="U31" s="46">
        <v>3.7999999999999999E-2</v>
      </c>
      <c r="V31" s="738">
        <f>$U$31</f>
        <v>3.7999999999999999E-2</v>
      </c>
      <c r="W31" s="739">
        <f>$U$31</f>
        <v>3.7999999999999999E-2</v>
      </c>
      <c r="X31" s="739">
        <f>$U$31</f>
        <v>3.7999999999999999E-2</v>
      </c>
      <c r="Y31" s="740">
        <f>$U$31</f>
        <v>3.7999999999999999E-2</v>
      </c>
      <c r="Z31" s="156" t="s">
        <v>4</v>
      </c>
      <c r="AA31" s="419"/>
      <c r="AB31" s="46">
        <v>4.2000000000000003E-2</v>
      </c>
      <c r="AC31" s="738">
        <f>$AB$31</f>
        <v>4.2000000000000003E-2</v>
      </c>
      <c r="AD31" s="739">
        <f>$AB$31</f>
        <v>4.2000000000000003E-2</v>
      </c>
      <c r="AE31" s="739">
        <f>$AB$31</f>
        <v>4.2000000000000003E-2</v>
      </c>
      <c r="AF31" s="740">
        <f>$AB$31</f>
        <v>4.2000000000000003E-2</v>
      </c>
      <c r="AG31" s="47"/>
      <c r="AH31" s="83"/>
      <c r="AI31" s="717">
        <f>D31-U31</f>
        <v>-1.530091689560439E-2</v>
      </c>
      <c r="AJ31" s="712">
        <f>J31-V31</f>
        <v>-1.530091689560439E-2</v>
      </c>
      <c r="AK31" s="287">
        <f>K31-Y31</f>
        <v>-1.530091689560439E-2</v>
      </c>
      <c r="AL31" s="718">
        <f>M31-Y31</f>
        <v>-1.530091689560439E-2</v>
      </c>
      <c r="AM31" s="1091"/>
      <c r="AN31" s="1119" t="s">
        <v>449</v>
      </c>
      <c r="AO31" s="1120"/>
      <c r="AP31" s="1120"/>
      <c r="AQ31" s="1120"/>
      <c r="AR31" s="1120"/>
      <c r="AS31" s="1120"/>
      <c r="AT31" s="1120"/>
      <c r="AU31" s="1120"/>
      <c r="AV31" s="1121"/>
      <c r="AW31" s="1146"/>
      <c r="AX31" s="48"/>
      <c r="AY31" s="48"/>
      <c r="AZ31" s="48"/>
      <c r="BA31" s="48"/>
      <c r="BB31" s="48"/>
      <c r="BC31" s="48"/>
      <c r="BD31" s="48"/>
      <c r="BE31" s="48"/>
      <c r="BF31" s="48"/>
      <c r="BG31" s="48"/>
      <c r="BH31" s="48"/>
      <c r="BI31" s="48"/>
      <c r="BJ31" s="48"/>
      <c r="BK31" s="48"/>
      <c r="BL31" s="48"/>
      <c r="BN31" s="48"/>
      <c r="BO31" s="48"/>
      <c r="BP31" s="48"/>
      <c r="BQ31" s="48"/>
      <c r="BR31" s="48"/>
      <c r="BS31" s="48"/>
      <c r="BT31" s="48"/>
      <c r="BU31" s="48"/>
      <c r="BV31" s="48"/>
      <c r="BW31" s="48"/>
      <c r="BX31" s="48"/>
      <c r="BY31" s="48"/>
      <c r="BZ31" s="48"/>
      <c r="CA31" s="48"/>
      <c r="CB31" s="48"/>
      <c r="CD31" s="48"/>
      <c r="CE31" s="48"/>
      <c r="CF31" s="48"/>
      <c r="CG31" s="48"/>
      <c r="CH31" s="48"/>
      <c r="CI31" s="48"/>
      <c r="CJ31" s="48"/>
      <c r="CK31" s="48"/>
      <c r="CL31" s="48"/>
      <c r="CM31" s="48"/>
      <c r="CN31" s="48"/>
      <c r="CO31" s="48"/>
      <c r="CP31" s="48"/>
      <c r="CQ31" s="48"/>
      <c r="CR31" s="48"/>
    </row>
    <row r="32" spans="1:96" ht="13.15" customHeight="1">
      <c r="A32" s="221"/>
      <c r="B32" s="665" t="s">
        <v>365</v>
      </c>
      <c r="C32" s="522"/>
      <c r="D32" s="99">
        <f t="shared" ref="D32:R32" si="20">D7/(1-D7)*(1-D11)*D31</f>
        <v>6.779188973438508E-3</v>
      </c>
      <c r="E32" s="57">
        <f t="shared" si="20"/>
        <v>7.48048438448387E-3</v>
      </c>
      <c r="F32" s="129">
        <f t="shared" si="20"/>
        <v>6.4285412679158261E-3</v>
      </c>
      <c r="G32" s="99">
        <f t="shared" si="20"/>
        <v>6.779188973438508E-3</v>
      </c>
      <c r="H32" s="57">
        <f t="shared" si="20"/>
        <v>7.1298366789611881E-3</v>
      </c>
      <c r="I32" s="129">
        <f t="shared" si="20"/>
        <v>6.5454238364233861E-3</v>
      </c>
      <c r="J32" s="99">
        <f t="shared" si="20"/>
        <v>6.779188973438508E-3</v>
      </c>
      <c r="K32" s="57">
        <f t="shared" si="20"/>
        <v>7.48048438448387E-3</v>
      </c>
      <c r="L32" s="129">
        <f t="shared" si="20"/>
        <v>6.4285412679158261E-3</v>
      </c>
      <c r="M32" s="99">
        <f t="shared" si="20"/>
        <v>6.779188973438508E-3</v>
      </c>
      <c r="N32" s="57">
        <f t="shared" si="20"/>
        <v>7.48048438448387E-3</v>
      </c>
      <c r="O32" s="129">
        <f t="shared" si="20"/>
        <v>6.4285412679158261E-3</v>
      </c>
      <c r="P32" s="99">
        <f t="shared" si="20"/>
        <v>6.779188973438508E-3</v>
      </c>
      <c r="Q32" s="57">
        <f t="shared" si="20"/>
        <v>7.48048438448387E-3</v>
      </c>
      <c r="R32" s="129">
        <f t="shared" si="20"/>
        <v>6.4285412679158261E-3</v>
      </c>
      <c r="S32" s="1162"/>
      <c r="T32" s="47"/>
      <c r="U32" s="705">
        <f>$U$7/(1-$U$7)*(1-U11)*U31</f>
        <v>1.3305584002423871E-2</v>
      </c>
      <c r="V32" s="706">
        <f>$U$7/(1-$U$7)*(1-V11)*V31</f>
        <v>1.17402211786093E-2</v>
      </c>
      <c r="W32" s="706">
        <f>$U$7/(1-$U$7)*(1-W11)*W31</f>
        <v>1.4675276473261625E-2</v>
      </c>
      <c r="X32" s="706">
        <f>$U$7/(1-$U$7)*(1-X11)*X31</f>
        <v>1.4675276473261625E-2</v>
      </c>
      <c r="Y32" s="706">
        <f>$U$7/(1-$U$7)*(1-Y11)*Y31</f>
        <v>1.4675276473261625E-2</v>
      </c>
      <c r="Z32" s="356" t="s">
        <v>365</v>
      </c>
      <c r="AA32" s="419"/>
      <c r="AB32" s="821">
        <f>$AB$7/(1-$AB$7)*(1-AB11)*AB31</f>
        <v>1.4057370095440084E-2</v>
      </c>
      <c r="AC32" s="706">
        <f>$AB$7/(1-$AB$7)*(1-AC11)*AC31</f>
        <v>1.1894697773064686E-2</v>
      </c>
      <c r="AD32" s="706">
        <f>$AB$7/(1-$AB$7)*(1-AD11)*AD31</f>
        <v>1.6220042417815481E-2</v>
      </c>
      <c r="AE32" s="706">
        <f>$AB$7/(1-$AB$7)*(1-AE11)*AE31</f>
        <v>1.6220042417815481E-2</v>
      </c>
      <c r="AF32" s="819">
        <f>$AB$7/(1-$AB$7)*(1-AF11)*AF31</f>
        <v>1.6220042417815481E-2</v>
      </c>
      <c r="AG32" s="47"/>
      <c r="AH32" s="356"/>
      <c r="AI32" s="298"/>
      <c r="AJ32" s="95"/>
      <c r="AK32" s="95"/>
      <c r="AL32" s="356"/>
      <c r="AM32" s="1091"/>
      <c r="AN32" s="1819" t="s">
        <v>464</v>
      </c>
      <c r="AO32" s="1820"/>
      <c r="AP32" s="1820"/>
      <c r="AQ32" s="1820"/>
      <c r="AR32" s="1820"/>
      <c r="AS32" s="1820"/>
      <c r="AT32" s="1820"/>
      <c r="AU32" s="1820"/>
      <c r="AV32" s="1821"/>
      <c r="AW32" s="1147"/>
      <c r="AX32" s="48"/>
      <c r="AY32" s="48"/>
      <c r="AZ32" s="48"/>
      <c r="BA32" s="48"/>
      <c r="BB32" s="48"/>
      <c r="BC32" s="48"/>
      <c r="BD32" s="48"/>
      <c r="BE32" s="48"/>
      <c r="BF32" s="48"/>
      <c r="BG32" s="48"/>
      <c r="BH32" s="48"/>
      <c r="BI32" s="48"/>
      <c r="BJ32" s="48"/>
      <c r="BK32" s="48"/>
      <c r="BL32" s="48"/>
      <c r="BN32" s="575"/>
      <c r="BO32" s="1773"/>
      <c r="BP32" s="575"/>
      <c r="BQ32" s="575"/>
      <c r="BR32" s="575"/>
      <c r="BS32" s="575"/>
      <c r="BT32" s="575"/>
      <c r="BU32" s="575"/>
      <c r="BV32" s="575"/>
      <c r="BW32" s="575"/>
      <c r="BX32" s="575"/>
      <c r="BY32" s="575"/>
      <c r="BZ32" s="575"/>
      <c r="CA32" s="575"/>
      <c r="CB32" s="575"/>
      <c r="CD32" s="48"/>
      <c r="CE32" s="347"/>
      <c r="CF32" s="48"/>
      <c r="CG32" s="48"/>
      <c r="CH32" s="48"/>
      <c r="CI32" s="48"/>
      <c r="CJ32" s="48"/>
      <c r="CK32" s="48"/>
      <c r="CL32" s="48"/>
      <c r="CM32" s="48"/>
      <c r="CN32" s="48"/>
      <c r="CO32" s="48"/>
      <c r="CP32" s="48"/>
      <c r="CQ32" s="48"/>
      <c r="CR32" s="48"/>
    </row>
    <row r="33" spans="1:96" s="1010" customFormat="1" ht="13.15" customHeight="1">
      <c r="A33" s="222"/>
      <c r="B33" s="521"/>
      <c r="C33" s="522"/>
      <c r="D33" s="99"/>
      <c r="E33" s="681" t="s">
        <v>136</v>
      </c>
      <c r="F33" s="682" t="s">
        <v>135</v>
      </c>
      <c r="G33" s="674"/>
      <c r="H33" s="681" t="s">
        <v>136</v>
      </c>
      <c r="I33" s="682" t="s">
        <v>135</v>
      </c>
      <c r="J33" s="674"/>
      <c r="K33" s="681" t="s">
        <v>136</v>
      </c>
      <c r="L33" s="682" t="s">
        <v>135</v>
      </c>
      <c r="M33" s="674"/>
      <c r="N33" s="681" t="s">
        <v>136</v>
      </c>
      <c r="O33" s="682" t="s">
        <v>135</v>
      </c>
      <c r="P33" s="674"/>
      <c r="Q33" s="681" t="s">
        <v>136</v>
      </c>
      <c r="R33" s="682" t="s">
        <v>135</v>
      </c>
      <c r="S33" s="1162"/>
      <c r="T33" s="47"/>
      <c r="U33" s="707"/>
      <c r="V33" s="708"/>
      <c r="W33" s="708"/>
      <c r="X33" s="708"/>
      <c r="Y33" s="708"/>
      <c r="Z33" s="356"/>
      <c r="AA33" s="419"/>
      <c r="AB33" s="707"/>
      <c r="AC33" s="708"/>
      <c r="AD33" s="708"/>
      <c r="AE33" s="708"/>
      <c r="AF33" s="820"/>
      <c r="AG33" s="47"/>
      <c r="AH33" s="356"/>
      <c r="AI33" s="298"/>
      <c r="AJ33" s="95"/>
      <c r="AK33" s="95"/>
      <c r="AL33" s="356"/>
      <c r="AM33" s="1092"/>
      <c r="AN33" s="1819"/>
      <c r="AO33" s="1820"/>
      <c r="AP33" s="1820"/>
      <c r="AQ33" s="1820"/>
      <c r="AR33" s="1820"/>
      <c r="AS33" s="1820"/>
      <c r="AT33" s="1820"/>
      <c r="AU33" s="1820"/>
      <c r="AV33" s="1821"/>
      <c r="AW33" s="1147"/>
      <c r="AX33" s="102"/>
      <c r="AY33" s="1195" t="s">
        <v>465</v>
      </c>
      <c r="AZ33" s="1196"/>
      <c r="BA33" s="1196"/>
      <c r="BB33" s="1196"/>
      <c r="BC33" s="1196"/>
      <c r="BD33" s="1196"/>
      <c r="BE33" s="1196"/>
      <c r="BF33" s="1197"/>
      <c r="BG33" s="1197"/>
      <c r="BH33" s="1197"/>
      <c r="BI33" s="1197"/>
      <c r="BJ33" s="1197"/>
      <c r="BK33" s="1197"/>
      <c r="BL33" s="1197"/>
      <c r="BN33" s="1150"/>
      <c r="BO33" s="1150"/>
      <c r="BP33" s="1150"/>
      <c r="BQ33" s="1150"/>
      <c r="BR33" s="1150"/>
      <c r="BS33" s="1150"/>
      <c r="BT33" s="1150"/>
      <c r="BU33" s="1150"/>
      <c r="BV33" s="1150"/>
      <c r="BW33" s="1150"/>
      <c r="BX33" s="1150"/>
      <c r="BY33" s="1150"/>
      <c r="BZ33" s="1150"/>
      <c r="CA33" s="1150"/>
      <c r="CB33" s="1150"/>
      <c r="CD33" s="102"/>
      <c r="CE33" s="1830" t="s">
        <v>459</v>
      </c>
      <c r="CF33" s="1830"/>
      <c r="CG33" s="1830"/>
      <c r="CH33" s="1830"/>
      <c r="CI33" s="1830"/>
      <c r="CJ33" s="1830"/>
      <c r="CK33" s="563"/>
      <c r="CL33" s="102"/>
      <c r="CM33" s="102"/>
      <c r="CN33" s="102"/>
      <c r="CO33" s="102"/>
      <c r="CP33" s="102"/>
      <c r="CQ33" s="102"/>
      <c r="CR33" s="102"/>
    </row>
    <row r="34" spans="1:96" s="1010" customFormat="1">
      <c r="A34" s="222"/>
      <c r="B34" s="190" t="s">
        <v>189</v>
      </c>
      <c r="C34" s="191"/>
      <c r="D34" s="1284">
        <f>D88</f>
        <v>0.27812500000000001</v>
      </c>
      <c r="E34" s="1285">
        <f>F88</f>
        <v>0.29666666666666669</v>
      </c>
      <c r="F34" s="1285">
        <f>E88</f>
        <v>0.25428571428571428</v>
      </c>
      <c r="G34" s="1284">
        <f>G88</f>
        <v>0.17115384615384616</v>
      </c>
      <c r="H34" s="1285">
        <f>I88</f>
        <v>0.17799999999999999</v>
      </c>
      <c r="I34" s="1285">
        <f>H88</f>
        <v>0.16181818181818183</v>
      </c>
      <c r="J34" s="1286">
        <f>J88</f>
        <v>0.27812500000000007</v>
      </c>
      <c r="K34" s="1285">
        <f>L88</f>
        <v>0.30531732418524876</v>
      </c>
      <c r="L34" s="1285">
        <f>K88</f>
        <v>0.25685425685425689</v>
      </c>
      <c r="M34" s="1286">
        <f>M88</f>
        <v>0.41875000000000001</v>
      </c>
      <c r="N34" s="1285">
        <f>O88</f>
        <v>0.3828571428571429</v>
      </c>
      <c r="O34" s="1285">
        <f>N88</f>
        <v>0.33500000000000002</v>
      </c>
      <c r="P34" s="1284">
        <f>P88</f>
        <v>0.41875000000000001</v>
      </c>
      <c r="Q34" s="1285">
        <f>R88</f>
        <v>0.3828571428571429</v>
      </c>
      <c r="R34" s="1285">
        <f>Q88</f>
        <v>0.33500000000000002</v>
      </c>
      <c r="S34" s="1155"/>
      <c r="T34" s="51"/>
      <c r="U34" s="88">
        <f>$W$63</f>
        <v>0.23875561877926038</v>
      </c>
      <c r="V34" s="86">
        <f>$W$63</f>
        <v>0.23875561877926038</v>
      </c>
      <c r="W34" s="88">
        <f>$W$63</f>
        <v>0.23875561877926038</v>
      </c>
      <c r="X34" s="88">
        <f>$Z$63</f>
        <v>0.16690072761760621</v>
      </c>
      <c r="Y34" s="86">
        <f>$Z$63</f>
        <v>0.16690072761760621</v>
      </c>
      <c r="Z34" s="311" t="s">
        <v>189</v>
      </c>
      <c r="AA34" s="422"/>
      <c r="AB34" s="88">
        <f>$AD$63</f>
        <v>0.24062460754083934</v>
      </c>
      <c r="AC34" s="88">
        <f>$AD$63</f>
        <v>0.24062460754083934</v>
      </c>
      <c r="AD34" s="88">
        <f>$AD$63</f>
        <v>0.24062460754083934</v>
      </c>
      <c r="AE34" s="88">
        <f>$AG$63</f>
        <v>0.16033882658734161</v>
      </c>
      <c r="AF34" s="88">
        <f>$AG$63</f>
        <v>0.16033882658734161</v>
      </c>
      <c r="AG34" s="93"/>
      <c r="AH34" s="387"/>
      <c r="AI34" s="1289">
        <f>D34-U34</f>
        <v>3.936938122073963E-2</v>
      </c>
      <c r="AJ34" s="1290">
        <f>J34-V34</f>
        <v>3.9369381220739685E-2</v>
      </c>
      <c r="AK34" s="1290">
        <f>P34-Y34</f>
        <v>0.2518492723823938</v>
      </c>
      <c r="AL34" s="1291">
        <f>M34-X34</f>
        <v>0.2518492723823938</v>
      </c>
      <c r="AM34" s="998"/>
      <c r="AN34" s="1796" t="s">
        <v>443</v>
      </c>
      <c r="AO34" s="1797"/>
      <c r="AP34" s="1797"/>
      <c r="AQ34" s="1797"/>
      <c r="AR34" s="1797"/>
      <c r="AS34" s="1797"/>
      <c r="AT34" s="1797"/>
      <c r="AU34" s="1797"/>
      <c r="AV34" s="1798"/>
      <c r="AX34" s="102"/>
      <c r="AY34" s="1123" t="s">
        <v>473</v>
      </c>
      <c r="AZ34" s="414"/>
      <c r="BA34" s="414"/>
      <c r="BB34" s="414"/>
      <c r="BC34" s="414"/>
      <c r="BD34" s="414"/>
      <c r="BE34" s="414"/>
      <c r="BF34" s="414"/>
      <c r="BG34" s="414"/>
      <c r="BH34" s="31"/>
      <c r="BI34" s="414"/>
      <c r="BJ34" s="414"/>
      <c r="BK34" s="414"/>
      <c r="BL34" s="414"/>
      <c r="BN34" s="548"/>
      <c r="BO34" s="1150"/>
      <c r="BP34" s="1150"/>
      <c r="BQ34" s="1150"/>
      <c r="BR34" s="1150"/>
      <c r="BS34" s="1150"/>
      <c r="BT34" s="1150"/>
      <c r="BU34" s="548"/>
      <c r="BV34" s="548"/>
      <c r="BW34" s="548"/>
      <c r="BX34" s="548"/>
      <c r="BY34" s="548"/>
      <c r="BZ34" s="548"/>
      <c r="CA34" s="548"/>
      <c r="CB34" s="548"/>
      <c r="CC34" s="1005"/>
      <c r="CD34" s="102"/>
      <c r="CE34" s="1830"/>
      <c r="CF34" s="1830"/>
      <c r="CG34" s="1830"/>
      <c r="CH34" s="1830"/>
      <c r="CI34" s="1830"/>
      <c r="CJ34" s="1830"/>
      <c r="CK34" s="563"/>
      <c r="CL34" s="102"/>
      <c r="CM34" s="102"/>
      <c r="CN34" s="102"/>
      <c r="CO34" s="102"/>
      <c r="CP34" s="102"/>
      <c r="CQ34" s="102"/>
      <c r="CR34" s="102"/>
    </row>
    <row r="35" spans="1:96" s="1010" customFormat="1" ht="12.75" customHeight="1">
      <c r="A35" s="221" t="s">
        <v>370</v>
      </c>
      <c r="B35" s="517" t="s">
        <v>190</v>
      </c>
      <c r="C35" s="518"/>
      <c r="D35" s="533">
        <f t="shared" ref="D35:R35" si="21">1/D34</f>
        <v>3.595505617977528</v>
      </c>
      <c r="E35" s="256">
        <f t="shared" si="21"/>
        <v>3.3707865168539324</v>
      </c>
      <c r="F35" s="312">
        <f t="shared" si="21"/>
        <v>3.9325842696629216</v>
      </c>
      <c r="G35" s="537">
        <f t="shared" si="21"/>
        <v>5.8426966292134832</v>
      </c>
      <c r="H35" s="256">
        <f t="shared" si="21"/>
        <v>5.617977528089888</v>
      </c>
      <c r="I35" s="312">
        <f t="shared" si="21"/>
        <v>6.179775280898876</v>
      </c>
      <c r="J35" s="537">
        <f t="shared" si="21"/>
        <v>3.5955056179775271</v>
      </c>
      <c r="K35" s="256">
        <f t="shared" si="21"/>
        <v>3.2752808988764039</v>
      </c>
      <c r="L35" s="312">
        <f t="shared" si="21"/>
        <v>3.8932584269662915</v>
      </c>
      <c r="M35" s="537">
        <f t="shared" si="21"/>
        <v>2.3880597014925371</v>
      </c>
      <c r="N35" s="256">
        <f t="shared" si="21"/>
        <v>2.6119402985074625</v>
      </c>
      <c r="O35" s="312">
        <f t="shared" si="21"/>
        <v>2.9850746268656714</v>
      </c>
      <c r="P35" s="537">
        <f t="shared" si="21"/>
        <v>2.3880597014925371</v>
      </c>
      <c r="Q35" s="256">
        <f t="shared" si="21"/>
        <v>2.6119402985074625</v>
      </c>
      <c r="R35" s="312">
        <f t="shared" si="21"/>
        <v>2.9850746268656714</v>
      </c>
      <c r="S35" s="1155"/>
      <c r="T35" s="103"/>
      <c r="U35" s="709">
        <f>1/U34</f>
        <v>4.1883831053397831</v>
      </c>
      <c r="V35" s="710">
        <f>1/V34</f>
        <v>4.1883831053397831</v>
      </c>
      <c r="W35" s="710">
        <f>1/W34</f>
        <v>4.1883831053397831</v>
      </c>
      <c r="X35" s="710">
        <f>1/X34</f>
        <v>5.9915856226291897</v>
      </c>
      <c r="Y35" s="710">
        <f>1/Y34</f>
        <v>5.9915856226291897</v>
      </c>
      <c r="Z35" s="166" t="s">
        <v>190</v>
      </c>
      <c r="AA35" s="422"/>
      <c r="AB35" s="822">
        <f>1/AB34</f>
        <v>4.1558509340333272</v>
      </c>
      <c r="AC35" s="823">
        <f>1/AC34</f>
        <v>4.1558509340333272</v>
      </c>
      <c r="AD35" s="823">
        <f>1/AD34</f>
        <v>4.1558509340333272</v>
      </c>
      <c r="AE35" s="823">
        <f>1/AE34</f>
        <v>6.2367925553906218</v>
      </c>
      <c r="AF35" s="824">
        <f>1/AF34</f>
        <v>6.2367925553906218</v>
      </c>
      <c r="AG35" s="93"/>
      <c r="AH35" s="387"/>
      <c r="AI35" s="777">
        <f>D35-U35</f>
        <v>-0.5928774873622551</v>
      </c>
      <c r="AJ35" s="778">
        <f>J35-V35</f>
        <v>-0.59287748736225598</v>
      </c>
      <c r="AK35" s="778">
        <f>P35-Y35</f>
        <v>-3.6035259211366526</v>
      </c>
      <c r="AL35" s="779">
        <f>M35-X35</f>
        <v>-3.6035259211366526</v>
      </c>
      <c r="AM35" s="1089"/>
      <c r="AN35" s="1796"/>
      <c r="AO35" s="1797"/>
      <c r="AP35" s="1797"/>
      <c r="AQ35" s="1797"/>
      <c r="AR35" s="1797"/>
      <c r="AS35" s="1797"/>
      <c r="AT35" s="1797"/>
      <c r="AU35" s="1797"/>
      <c r="AV35" s="1798"/>
      <c r="AX35" s="102"/>
      <c r="AY35" s="304" t="s">
        <v>474</v>
      </c>
      <c r="AZ35" s="102"/>
      <c r="BA35" s="102"/>
      <c r="BB35" s="102"/>
      <c r="BC35" s="102"/>
      <c r="BD35" s="102"/>
      <c r="BE35" s="102"/>
      <c r="BF35" s="414"/>
      <c r="BG35" s="107"/>
      <c r="BH35" s="107"/>
      <c r="BI35" s="107"/>
      <c r="BJ35" s="107"/>
      <c r="BK35" s="107"/>
      <c r="BL35" s="107"/>
      <c r="BM35" s="1004"/>
      <c r="BN35" s="548"/>
      <c r="BO35" s="1774" t="s">
        <v>499</v>
      </c>
      <c r="BP35" s="1150"/>
      <c r="BQ35" s="1150"/>
      <c r="BR35" s="1150"/>
      <c r="BS35" s="1150"/>
      <c r="BT35" s="1150"/>
      <c r="BU35" s="548"/>
      <c r="BV35" s="548"/>
      <c r="BW35" s="548"/>
      <c r="BX35" s="548"/>
      <c r="BY35" s="548"/>
      <c r="BZ35" s="548"/>
      <c r="CA35" s="548"/>
      <c r="CB35" s="548"/>
      <c r="CC35" s="1005"/>
      <c r="CD35" s="102"/>
      <c r="CE35" s="563"/>
      <c r="CF35" s="563"/>
      <c r="CG35" s="563"/>
      <c r="CH35" s="563"/>
      <c r="CI35" s="563"/>
      <c r="CJ35" s="563"/>
      <c r="CK35" s="563"/>
      <c r="CL35" s="102"/>
      <c r="CM35" s="102"/>
      <c r="CN35" s="102"/>
      <c r="CO35" s="102"/>
      <c r="CP35" s="102"/>
      <c r="CQ35" s="102"/>
      <c r="CR35" s="102"/>
    </row>
    <row r="36" spans="1:96" s="1010" customFormat="1" ht="13.15" customHeight="1">
      <c r="A36" s="221" t="s">
        <v>22</v>
      </c>
      <c r="B36" s="663" t="s">
        <v>511</v>
      </c>
      <c r="C36" s="666"/>
      <c r="D36" s="99">
        <f t="shared" ref="D36:R36" si="22">D32*D34</f>
        <v>1.885461933237585E-3</v>
      </c>
      <c r="E36" s="94">
        <f t="shared" si="22"/>
        <v>2.2192103673968817E-3</v>
      </c>
      <c r="F36" s="101">
        <f t="shared" si="22"/>
        <v>1.6346862081271672E-3</v>
      </c>
      <c r="G36" s="99">
        <f t="shared" si="22"/>
        <v>1.1602842666077447E-3</v>
      </c>
      <c r="H36" s="94">
        <f t="shared" si="22"/>
        <v>1.2691109288550915E-3</v>
      </c>
      <c r="I36" s="101">
        <f t="shared" si="22"/>
        <v>1.0591685844394208E-3</v>
      </c>
      <c r="J36" s="99">
        <f t="shared" si="22"/>
        <v>1.8854619332375855E-3</v>
      </c>
      <c r="K36" s="94">
        <f t="shared" si="22"/>
        <v>2.2839214758801529E-3</v>
      </c>
      <c r="L36" s="101">
        <f t="shared" si="22"/>
        <v>1.6511981900274419E-3</v>
      </c>
      <c r="M36" s="99">
        <f t="shared" si="22"/>
        <v>2.8387853826273754E-3</v>
      </c>
      <c r="N36" s="94">
        <f t="shared" si="22"/>
        <v>2.8639568786309679E-3</v>
      </c>
      <c r="O36" s="101">
        <f t="shared" si="22"/>
        <v>2.1535613247518019E-3</v>
      </c>
      <c r="P36" s="99">
        <f t="shared" si="22"/>
        <v>2.8387853826273754E-3</v>
      </c>
      <c r="Q36" s="94">
        <f t="shared" si="22"/>
        <v>2.8639568786309679E-3</v>
      </c>
      <c r="R36" s="101">
        <f t="shared" si="22"/>
        <v>2.1535613247518019E-3</v>
      </c>
      <c r="S36" s="1162"/>
      <c r="T36" s="93"/>
      <c r="U36" s="742">
        <f>U32*U34</f>
        <v>3.1767829417181392E-3</v>
      </c>
      <c r="V36" s="743">
        <f>V32*V34</f>
        <v>2.8030437721042411E-3</v>
      </c>
      <c r="W36" s="743">
        <f>W32*W34</f>
        <v>3.5038047151303015E-3</v>
      </c>
      <c r="X36" s="743">
        <f>X32*X34</f>
        <v>2.4493143213769031E-3</v>
      </c>
      <c r="Y36" s="743">
        <f>Y32*Y34</f>
        <v>2.4493143213769031E-3</v>
      </c>
      <c r="Z36" s="741" t="s">
        <v>368</v>
      </c>
      <c r="AA36" s="422"/>
      <c r="AB36" s="705">
        <f>AB32*AB34</f>
        <v>3.3825491622716014E-3</v>
      </c>
      <c r="AC36" s="706">
        <f>AC32*AC34</f>
        <v>2.8621569834605858E-3</v>
      </c>
      <c r="AD36" s="706">
        <f>AD32*AD34</f>
        <v>3.9029413410826166E-3</v>
      </c>
      <c r="AE36" s="706">
        <f>AE32*AE34</f>
        <v>2.6007025684694415E-3</v>
      </c>
      <c r="AF36" s="819">
        <f>AF32*AF34</f>
        <v>2.6007025684694415E-3</v>
      </c>
      <c r="AG36" s="104"/>
      <c r="AH36" s="387"/>
      <c r="AI36" s="99">
        <f>D36-U36</f>
        <v>-1.2913210084805542E-3</v>
      </c>
      <c r="AJ36" s="100">
        <f>J36-V36</f>
        <v>-9.1758183886665561E-4</v>
      </c>
      <c r="AK36" s="100">
        <f>P36-Y36</f>
        <v>3.8947106125047232E-4</v>
      </c>
      <c r="AL36" s="83">
        <f>M36-X36</f>
        <v>3.8947106125047232E-4</v>
      </c>
      <c r="AM36" s="1091"/>
      <c r="AN36" s="304"/>
      <c r="AO36" s="414"/>
      <c r="AP36" s="414"/>
      <c r="AQ36" s="414"/>
      <c r="AR36" s="414"/>
      <c r="AS36" s="414"/>
      <c r="AT36" s="414"/>
      <c r="AU36" s="414"/>
      <c r="AV36" s="305"/>
      <c r="AX36" s="1150"/>
      <c r="AY36" s="1125"/>
      <c r="AZ36" s="1124"/>
      <c r="BA36" s="1124"/>
      <c r="BB36" s="1124"/>
      <c r="BC36" s="1124"/>
      <c r="BD36" s="1124"/>
      <c r="BE36" s="1124"/>
      <c r="BF36" s="1124"/>
      <c r="BG36" s="1124"/>
      <c r="BH36" s="1124"/>
      <c r="BI36" s="1124"/>
      <c r="BJ36" s="1124"/>
      <c r="BK36" s="1124"/>
      <c r="BL36" s="1124"/>
      <c r="BM36" s="1144"/>
      <c r="BN36" s="548"/>
      <c r="BO36" s="1150"/>
      <c r="BP36" s="1150"/>
      <c r="BQ36" s="1150"/>
      <c r="BR36" s="1150"/>
      <c r="BS36" s="1150"/>
      <c r="BT36" s="1150"/>
      <c r="BU36" s="548"/>
      <c r="BV36" s="548"/>
      <c r="BW36" s="548"/>
      <c r="BX36" s="548"/>
      <c r="BY36" s="548"/>
      <c r="BZ36" s="548"/>
      <c r="CA36" s="548"/>
      <c r="CB36" s="548"/>
      <c r="CC36" s="1005"/>
      <c r="CD36" s="102"/>
      <c r="CE36" s="102"/>
      <c r="CF36" s="102"/>
      <c r="CG36" s="102"/>
      <c r="CH36" s="102"/>
      <c r="CI36" s="102"/>
      <c r="CJ36" s="102"/>
      <c r="CK36" s="102"/>
      <c r="CL36" s="102"/>
      <c r="CM36" s="416"/>
      <c r="CN36" s="416"/>
      <c r="CO36" s="416"/>
      <c r="CP36" s="416"/>
      <c r="CQ36" s="416"/>
      <c r="CR36" s="102"/>
    </row>
    <row r="37" spans="1:96" s="1004" customFormat="1">
      <c r="A37" s="223"/>
      <c r="B37" s="519"/>
      <c r="C37" s="520"/>
      <c r="D37" s="96"/>
      <c r="E37" s="97"/>
      <c r="F37" s="98"/>
      <c r="G37" s="96"/>
      <c r="H37" s="97"/>
      <c r="I37" s="98"/>
      <c r="J37" s="96"/>
      <c r="K37" s="97"/>
      <c r="L37" s="98"/>
      <c r="M37" s="96"/>
      <c r="N37" s="97"/>
      <c r="O37" s="98"/>
      <c r="P37" s="96"/>
      <c r="Q37" s="97"/>
      <c r="R37" s="98"/>
      <c r="S37" s="1162"/>
      <c r="T37" s="103"/>
      <c r="U37" s="750"/>
      <c r="V37" s="103"/>
      <c r="W37" s="93"/>
      <c r="X37" s="93"/>
      <c r="Y37" s="103"/>
      <c r="Z37" s="428"/>
      <c r="AA37" s="423"/>
      <c r="AB37" s="844"/>
      <c r="AC37" s="93"/>
      <c r="AD37" s="93"/>
      <c r="AE37" s="93"/>
      <c r="AF37" s="845"/>
      <c r="AG37" s="105"/>
      <c r="AH37" s="428"/>
      <c r="AI37" s="298"/>
      <c r="AJ37" s="95"/>
      <c r="AK37" s="95"/>
      <c r="AL37" s="356"/>
      <c r="AM37" s="1089"/>
      <c r="AN37" s="1094" t="s">
        <v>444</v>
      </c>
      <c r="AO37" s="414"/>
      <c r="AP37" s="414"/>
      <c r="AQ37" s="414"/>
      <c r="AR37" s="414"/>
      <c r="AS37" s="414"/>
      <c r="AT37" s="414"/>
      <c r="AU37" s="414"/>
      <c r="AV37" s="305"/>
      <c r="AX37" s="1151"/>
      <c r="AY37" s="1826" t="s">
        <v>451</v>
      </c>
      <c r="AZ37" s="1827"/>
      <c r="BA37" s="1827"/>
      <c r="BB37" s="1827"/>
      <c r="BC37" s="1827"/>
      <c r="BD37" s="1827"/>
      <c r="BE37" s="1827"/>
      <c r="BF37" s="1827"/>
      <c r="BG37" s="1827"/>
      <c r="BH37" s="1827"/>
      <c r="BI37" s="1827"/>
      <c r="BJ37" s="1827"/>
      <c r="BK37" s="1827"/>
      <c r="BL37" s="1827"/>
      <c r="BM37" s="1141"/>
      <c r="BN37" s="1151"/>
      <c r="BO37" s="1151"/>
      <c r="BP37" s="1151"/>
      <c r="BQ37" s="1151"/>
      <c r="BR37" s="1151"/>
      <c r="BS37" s="1151"/>
      <c r="BT37" s="1151"/>
      <c r="BU37" s="1151"/>
      <c r="BV37" s="1151"/>
      <c r="BW37" s="1151"/>
      <c r="BX37" s="1151"/>
      <c r="BY37" s="1151"/>
      <c r="BZ37" s="1151"/>
      <c r="CA37" s="1151"/>
      <c r="CB37" s="1151"/>
      <c r="CD37" s="1171" t="s">
        <v>458</v>
      </c>
      <c r="CE37" s="409" t="s">
        <v>250</v>
      </c>
      <c r="CF37" s="410">
        <f>BP1-AZ1</f>
        <v>6.611419543584518E-3</v>
      </c>
      <c r="CG37" s="409" t="s">
        <v>251</v>
      </c>
      <c r="CH37" s="411">
        <f>BR1-BB1</f>
        <v>6.1917173404925085E-3</v>
      </c>
      <c r="CI37" s="412" t="s">
        <v>414</v>
      </c>
      <c r="CJ37" s="412"/>
      <c r="CK37" s="107"/>
      <c r="CL37" s="416"/>
      <c r="CM37" s="416"/>
      <c r="CN37" s="416"/>
      <c r="CO37" s="416"/>
      <c r="CP37" s="416"/>
      <c r="CQ37" s="416"/>
      <c r="CR37" s="416"/>
    </row>
    <row r="38" spans="1:96">
      <c r="A38" s="308" t="s">
        <v>24</v>
      </c>
      <c r="B38" s="837" t="s">
        <v>255</v>
      </c>
      <c r="C38" s="838"/>
      <c r="D38" s="839">
        <f t="shared" ref="D38:R38" si="23">D28-D36</f>
        <v>7.3676137581927356E-2</v>
      </c>
      <c r="E38" s="840">
        <f t="shared" si="23"/>
        <v>6.4815150717555489E-2</v>
      </c>
      <c r="F38" s="841">
        <f t="shared" si="23"/>
        <v>8.9183937531800483E-2</v>
      </c>
      <c r="G38" s="839">
        <f t="shared" si="23"/>
        <v>9.3705382510904933E-2</v>
      </c>
      <c r="H38" s="840">
        <f t="shared" si="23"/>
        <v>8.324591378835608E-2</v>
      </c>
      <c r="I38" s="841">
        <f t="shared" si="23"/>
        <v>0.11535519934138895</v>
      </c>
      <c r="J38" s="842">
        <f t="shared" si="23"/>
        <v>8.1349159833066037E-2</v>
      </c>
      <c r="K38" s="840">
        <f t="shared" si="23"/>
        <v>7.171043941736166E-2</v>
      </c>
      <c r="L38" s="841">
        <f t="shared" si="23"/>
        <v>9.8043307334974752E-2</v>
      </c>
      <c r="M38" s="839">
        <f t="shared" si="23"/>
        <v>8.1314444978701092E-2</v>
      </c>
      <c r="N38" s="840">
        <f t="shared" si="23"/>
        <v>7.1658541233930007E-2</v>
      </c>
      <c r="O38" s="841">
        <f t="shared" si="23"/>
        <v>0.10160420974820303</v>
      </c>
      <c r="P38" s="843">
        <f t="shared" si="23"/>
        <v>8.1314444978701092E-2</v>
      </c>
      <c r="Q38" s="858">
        <f t="shared" si="23"/>
        <v>7.1658541233930007E-2</v>
      </c>
      <c r="R38" s="859">
        <f t="shared" si="23"/>
        <v>0.10160420974820303</v>
      </c>
      <c r="S38" s="1163"/>
      <c r="T38" s="1762">
        <v>40269</v>
      </c>
      <c r="U38" s="850">
        <f>U28-U36</f>
        <v>9.6986465051010232E-2</v>
      </c>
      <c r="V38" s="851">
        <f>V28-V36</f>
        <v>9.6121785799172826E-2</v>
      </c>
      <c r="W38" s="852">
        <f>W28-W36</f>
        <v>9.9437226946739107E-2</v>
      </c>
      <c r="X38" s="852">
        <f>X28-X36</f>
        <v>0.10128705138078943</v>
      </c>
      <c r="Y38" s="853">
        <f>Y28-Y36</f>
        <v>0.1004917173404925</v>
      </c>
      <c r="Z38" s="854" t="s">
        <v>281</v>
      </c>
      <c r="AA38" s="785">
        <v>40269</v>
      </c>
      <c r="AB38" s="846">
        <f>AB28-AB36</f>
        <v>8.8299006662603416E-2</v>
      </c>
      <c r="AC38" s="847">
        <f>AC28-AC36</f>
        <v>8.8611203113494422E-2</v>
      </c>
      <c r="AD38" s="848">
        <f>AD28-AD36</f>
        <v>8.798681021171241E-2</v>
      </c>
      <c r="AE38" s="846">
        <f>AE28-AE36</f>
        <v>9.0122256074160467E-2</v>
      </c>
      <c r="AF38" s="849">
        <f>AF28-AF36</f>
        <v>9.7621119882674329E-2</v>
      </c>
      <c r="AG38" s="106"/>
      <c r="AH38" s="454"/>
      <c r="AI38" s="839">
        <f>D38-U38</f>
        <v>-2.3310327469082875E-2</v>
      </c>
      <c r="AJ38" s="867">
        <f>J38-V38</f>
        <v>-1.4772625966106789E-2</v>
      </c>
      <c r="AK38" s="868">
        <f>P38-Y38</f>
        <v>-1.9177272361791411E-2</v>
      </c>
      <c r="AL38" s="855">
        <f>M38-X38</f>
        <v>-1.9972606402088339E-2</v>
      </c>
      <c r="AN38" s="1790" t="s">
        <v>445</v>
      </c>
      <c r="AO38" s="1791"/>
      <c r="AP38" s="1791"/>
      <c r="AQ38" s="1791"/>
      <c r="AR38" s="1791"/>
      <c r="AS38" s="1791"/>
      <c r="AT38" s="1791"/>
      <c r="AU38" s="1791"/>
      <c r="AV38" s="1792"/>
      <c r="AW38" s="1148"/>
      <c r="AX38" s="576"/>
      <c r="AY38" s="1826"/>
      <c r="AZ38" s="1827"/>
      <c r="BA38" s="1827"/>
      <c r="BB38" s="1827"/>
      <c r="BC38" s="1827"/>
      <c r="BD38" s="1827"/>
      <c r="BE38" s="1827"/>
      <c r="BF38" s="1827"/>
      <c r="BG38" s="1827"/>
      <c r="BH38" s="1827"/>
      <c r="BI38" s="1827"/>
      <c r="BJ38" s="1827"/>
      <c r="BK38" s="1827"/>
      <c r="BL38" s="1827"/>
      <c r="BM38" s="1141"/>
      <c r="BN38" s="563"/>
      <c r="BO38" s="576"/>
      <c r="BP38" s="576"/>
      <c r="BQ38" s="576"/>
      <c r="BR38" s="576"/>
      <c r="BS38" s="576"/>
      <c r="BT38" s="576"/>
      <c r="BU38" s="563"/>
      <c r="BV38" s="563"/>
      <c r="BW38" s="563"/>
      <c r="BX38" s="563"/>
      <c r="BY38" s="563"/>
      <c r="BZ38" s="563"/>
      <c r="CA38" s="563"/>
      <c r="CB38" s="563"/>
      <c r="CC38" s="1005"/>
      <c r="CD38" s="52"/>
      <c r="CE38" s="409" t="s">
        <v>338</v>
      </c>
      <c r="CF38" s="411">
        <f>BP2-AZ2</f>
        <v>-6.646134397949463E-3</v>
      </c>
      <c r="CG38" s="409" t="s">
        <v>338</v>
      </c>
      <c r="CH38" s="411">
        <f>BR2-BB2</f>
        <v>-6.2264321948574536E-3</v>
      </c>
      <c r="CI38" s="412" t="s">
        <v>285</v>
      </c>
      <c r="CJ38" s="412"/>
      <c r="CK38" s="52"/>
      <c r="CL38" s="416"/>
      <c r="CM38" s="416"/>
      <c r="CN38" s="416"/>
      <c r="CO38" s="416"/>
      <c r="CP38" s="416"/>
      <c r="CQ38" s="416"/>
      <c r="CR38" s="416"/>
    </row>
    <row r="39" spans="1:96">
      <c r="A39" s="224"/>
      <c r="B39" s="323" t="s">
        <v>400</v>
      </c>
      <c r="C39" s="783"/>
      <c r="D39" s="484"/>
      <c r="E39" s="789"/>
      <c r="F39" s="789"/>
      <c r="G39" s="789"/>
      <c r="H39" s="789"/>
      <c r="I39" s="789"/>
      <c r="J39" s="789"/>
      <c r="K39" s="790"/>
      <c r="L39" s="789"/>
      <c r="M39" s="791"/>
      <c r="N39" s="647"/>
      <c r="O39" s="648"/>
      <c r="P39" s="800">
        <f>P38-J38</f>
        <v>-3.4714854364945036E-5</v>
      </c>
      <c r="Q39" s="748">
        <f>Q38-K38</f>
        <v>-5.1898183431653422E-5</v>
      </c>
      <c r="R39" s="749">
        <f>R38-L38</f>
        <v>3.5609024132282757E-3</v>
      </c>
      <c r="S39" s="1164"/>
      <c r="T39" s="1763"/>
      <c r="U39" s="721"/>
      <c r="V39" s="792"/>
      <c r="W39" s="793"/>
      <c r="X39" s="794"/>
      <c r="Y39" s="803">
        <f>Y38-V38</f>
        <v>4.3699315413196771E-3</v>
      </c>
      <c r="Z39" s="798" t="s">
        <v>378</v>
      </c>
      <c r="AA39" s="52"/>
      <c r="AB39" s="576"/>
      <c r="AC39" s="576"/>
      <c r="AD39" s="576"/>
      <c r="AE39" s="576"/>
      <c r="AF39" s="795">
        <f>AF38-AC38</f>
        <v>9.009916769179907E-3</v>
      </c>
      <c r="AG39" s="52"/>
      <c r="AH39" s="52"/>
      <c r="AI39" s="797"/>
      <c r="AJ39" s="485"/>
      <c r="AK39" s="869">
        <f>AK38-AJ38</f>
        <v>-4.4046463956846221E-3</v>
      </c>
      <c r="AL39" s="796"/>
      <c r="AN39" s="1793"/>
      <c r="AO39" s="1794"/>
      <c r="AP39" s="1794"/>
      <c r="AQ39" s="1794"/>
      <c r="AR39" s="1794"/>
      <c r="AS39" s="1794"/>
      <c r="AT39" s="1794"/>
      <c r="AU39" s="1794"/>
      <c r="AV39" s="1795"/>
      <c r="AW39" s="1149"/>
      <c r="AX39" s="576"/>
      <c r="AY39" s="1828"/>
      <c r="AZ39" s="1829"/>
      <c r="BA39" s="1829"/>
      <c r="BB39" s="1829"/>
      <c r="BC39" s="1829"/>
      <c r="BD39" s="1829"/>
      <c r="BE39" s="1829"/>
      <c r="BF39" s="1829"/>
      <c r="BG39" s="1829"/>
      <c r="BH39" s="1829"/>
      <c r="BI39" s="1829"/>
      <c r="BJ39" s="1829"/>
      <c r="BK39" s="1829"/>
      <c r="BL39" s="1829"/>
      <c r="BN39" s="563"/>
      <c r="BO39" s="563"/>
      <c r="BP39" s="563"/>
      <c r="BQ39" s="563"/>
      <c r="BR39" s="563"/>
      <c r="BS39" s="563"/>
      <c r="BT39" s="563"/>
      <c r="BU39" s="563"/>
      <c r="BV39" s="563"/>
      <c r="BW39" s="563"/>
      <c r="BX39" s="563"/>
      <c r="BY39" s="563"/>
      <c r="BZ39" s="563"/>
      <c r="CA39" s="563"/>
      <c r="CB39" s="563"/>
      <c r="CC39" s="1005"/>
      <c r="CD39" s="48"/>
      <c r="CE39" s="413"/>
      <c r="CF39" s="413"/>
      <c r="CG39" s="413"/>
      <c r="CH39" s="413"/>
      <c r="CI39" s="413"/>
      <c r="CJ39" s="413"/>
      <c r="CK39" s="52"/>
      <c r="CL39" s="416"/>
      <c r="CM39" s="416"/>
      <c r="CN39" s="416"/>
      <c r="CO39" s="416"/>
      <c r="CP39" s="416"/>
      <c r="CQ39" s="416"/>
      <c r="CR39" s="416"/>
    </row>
    <row r="40" spans="1:96">
      <c r="A40" s="225" t="s">
        <v>146</v>
      </c>
      <c r="B40" s="1801" t="s">
        <v>399</v>
      </c>
      <c r="C40" s="1802"/>
      <c r="D40" s="299">
        <f>AVERAGE(E38,F38)</f>
        <v>7.6999544124677993E-2</v>
      </c>
      <c r="E40" s="94"/>
      <c r="F40" s="94"/>
      <c r="G40" s="94">
        <f>AVERAGE(H38,I38)</f>
        <v>9.9300556564872522E-2</v>
      </c>
      <c r="H40" s="94"/>
      <c r="I40" s="94"/>
      <c r="J40" s="94">
        <f>AVERAGE(K38,L38)</f>
        <v>8.4876873376168199E-2</v>
      </c>
      <c r="K40" s="94"/>
      <c r="L40" s="94"/>
      <c r="M40" s="94">
        <f>AVERAGE(N38,O38)</f>
        <v>8.6631375491066517E-2</v>
      </c>
      <c r="N40" s="94"/>
      <c r="O40" s="94"/>
      <c r="P40" s="94">
        <f>AVERAGE(Q38,R38)</f>
        <v>8.6631375491066517E-2</v>
      </c>
      <c r="Q40" s="67"/>
      <c r="R40" s="67"/>
      <c r="T40" s="1762">
        <v>40118</v>
      </c>
      <c r="U40" s="33">
        <v>9.2611345840225401E-2</v>
      </c>
      <c r="V40" s="33">
        <v>8.9419535439103887E-2</v>
      </c>
      <c r="W40" s="33">
        <v>9.6577593060431122E-2</v>
      </c>
      <c r="X40" s="33">
        <v>9.8472793686555607E-2</v>
      </c>
      <c r="Y40" s="33">
        <v>9.7715332695796631E-2</v>
      </c>
      <c r="Z40" s="47"/>
      <c r="AA40" s="67"/>
      <c r="AB40" s="561"/>
      <c r="AC40" s="561"/>
      <c r="AD40" s="561"/>
      <c r="AE40" s="561"/>
      <c r="AF40" s="561"/>
      <c r="AG40" s="47"/>
      <c r="AH40" s="47"/>
      <c r="AI40" s="67"/>
      <c r="AJ40" s="255"/>
      <c r="AK40" s="255"/>
      <c r="AL40" s="95"/>
      <c r="AN40" s="563"/>
      <c r="AO40" s="563"/>
      <c r="AP40" s="563"/>
      <c r="AQ40" s="563"/>
      <c r="AR40" s="563"/>
      <c r="AS40" s="563"/>
      <c r="AT40" s="563"/>
      <c r="AU40" s="563"/>
      <c r="AV40" s="563"/>
      <c r="AW40" s="1148"/>
      <c r="AX40" s="575"/>
      <c r="AY40" s="548"/>
      <c r="AZ40" s="548"/>
      <c r="BA40" s="548"/>
      <c r="BB40" s="548"/>
      <c r="BC40" s="548"/>
      <c r="BD40" s="548"/>
      <c r="BE40" s="548"/>
      <c r="BF40" s="548"/>
      <c r="BG40" s="548"/>
      <c r="BH40" s="548"/>
      <c r="BI40" s="548"/>
      <c r="BJ40" s="548"/>
      <c r="BK40" s="548"/>
      <c r="BL40" s="543"/>
      <c r="BM40" s="1141"/>
      <c r="BN40" s="548"/>
      <c r="BO40" s="548"/>
      <c r="BP40" s="548"/>
      <c r="BQ40" s="548"/>
      <c r="BR40" s="548"/>
      <c r="BS40" s="548"/>
      <c r="BT40" s="548"/>
      <c r="BU40" s="548"/>
      <c r="BV40" s="548"/>
      <c r="BW40" s="548"/>
      <c r="BX40" s="548"/>
      <c r="BY40" s="548"/>
      <c r="BZ40" s="548"/>
      <c r="CA40" s="548"/>
      <c r="CB40" s="548"/>
      <c r="CC40" s="1005"/>
      <c r="CD40" s="111"/>
      <c r="CE40" s="409" t="s">
        <v>296</v>
      </c>
      <c r="CF40" s="411">
        <f>BP4-AZ4</f>
        <v>1.8741319444444418E-2</v>
      </c>
      <c r="CG40" s="409" t="s">
        <v>286</v>
      </c>
      <c r="CH40" s="411">
        <f>BR4-BB4</f>
        <v>1.7774999999999999E-2</v>
      </c>
      <c r="CI40" s="412" t="s">
        <v>287</v>
      </c>
      <c r="CJ40" s="412"/>
      <c r="CK40" s="48"/>
      <c r="CL40" s="416"/>
      <c r="CM40" s="416"/>
      <c r="CN40" s="416"/>
      <c r="CO40" s="416"/>
      <c r="CP40" s="416"/>
      <c r="CQ40" s="416"/>
      <c r="CR40" s="416"/>
    </row>
    <row r="41" spans="1:96" s="1011" customFormat="1">
      <c r="A41" s="554" t="s">
        <v>369</v>
      </c>
      <c r="B41" s="1803"/>
      <c r="C41" s="1804"/>
      <c r="D41" s="780" t="s">
        <v>462</v>
      </c>
      <c r="E41" s="576"/>
      <c r="F41" s="576"/>
      <c r="G41" s="576"/>
      <c r="H41" s="555"/>
      <c r="I41" s="555"/>
      <c r="J41" s="556"/>
      <c r="K41" s="559"/>
      <c r="L41" s="543"/>
      <c r="M41" s="543"/>
      <c r="N41" s="543"/>
      <c r="O41" s="543"/>
      <c r="P41" s="94">
        <f>P40-J40</f>
        <v>1.7545021148983181E-3</v>
      </c>
      <c r="Q41" s="543"/>
      <c r="R41" s="543"/>
      <c r="S41" s="1166"/>
      <c r="T41" s="543"/>
      <c r="U41" s="543"/>
      <c r="V41" s="543"/>
      <c r="W41" s="543"/>
      <c r="X41" s="543"/>
      <c r="Y41" s="33">
        <f>Y40-V40</f>
        <v>8.295797256692744E-3</v>
      </c>
      <c r="Z41" s="543"/>
      <c r="AA41" s="558"/>
      <c r="AB41" s="561"/>
      <c r="AC41" s="561"/>
      <c r="AD41" s="561"/>
      <c r="AE41" s="561"/>
      <c r="AF41" s="561"/>
      <c r="AG41" s="560"/>
      <c r="AH41" s="562"/>
      <c r="AI41" s="570"/>
      <c r="AJ41" s="570"/>
      <c r="AK41" s="543"/>
      <c r="AL41" s="570"/>
      <c r="AM41" s="998"/>
      <c r="AN41" s="563"/>
      <c r="AO41" s="563"/>
      <c r="AP41" s="563"/>
      <c r="AQ41" s="563"/>
      <c r="AR41" s="563"/>
      <c r="AS41" s="563"/>
      <c r="AT41" s="563"/>
      <c r="AU41" s="563"/>
      <c r="AV41" s="563"/>
      <c r="AX41" s="543"/>
      <c r="AY41" s="543"/>
      <c r="AZ41" s="543"/>
      <c r="BA41" s="543"/>
      <c r="BB41" s="543"/>
      <c r="BC41" s="543"/>
      <c r="BD41" s="543"/>
      <c r="BE41" s="543"/>
      <c r="BF41" s="543"/>
      <c r="BG41" s="543"/>
      <c r="BH41" s="543"/>
      <c r="BI41" s="543"/>
      <c r="BJ41" s="543"/>
      <c r="BK41" s="543"/>
      <c r="BL41" s="543"/>
      <c r="BN41" s="548"/>
      <c r="BO41" s="548"/>
      <c r="BP41" s="548"/>
      <c r="BQ41" s="548"/>
      <c r="BR41" s="548"/>
      <c r="BS41" s="548"/>
      <c r="BT41" s="548"/>
      <c r="BU41" s="548"/>
      <c r="BV41" s="548"/>
      <c r="BW41" s="548"/>
      <c r="BX41" s="548"/>
      <c r="BY41" s="548"/>
      <c r="BZ41" s="548"/>
      <c r="CA41" s="548"/>
      <c r="CB41" s="548"/>
      <c r="CC41" s="1141"/>
      <c r="CD41" s="543"/>
      <c r="CE41" s="564" t="s">
        <v>340</v>
      </c>
      <c r="CF41" s="411">
        <f>BP5-AZ5</f>
        <v>-1.4371387903124741E-2</v>
      </c>
      <c r="CG41" s="564" t="s">
        <v>340</v>
      </c>
      <c r="CH41" s="411">
        <f>BR5-BB5</f>
        <v>-1.3405068458680322E-2</v>
      </c>
      <c r="CI41" s="565" t="s">
        <v>285</v>
      </c>
      <c r="CJ41" s="565"/>
      <c r="CK41" s="543"/>
      <c r="CL41" s="543"/>
      <c r="CM41" s="566"/>
      <c r="CN41" s="566"/>
      <c r="CO41" s="566"/>
      <c r="CP41" s="566"/>
      <c r="CQ41" s="566"/>
      <c r="CR41" s="543"/>
    </row>
    <row r="42" spans="1:96" s="1011" customFormat="1">
      <c r="A42" s="601"/>
      <c r="B42" s="667" t="s">
        <v>363</v>
      </c>
      <c r="C42" s="543"/>
      <c r="D42" s="914" t="s">
        <v>553</v>
      </c>
      <c r="E42" s="543"/>
      <c r="F42" s="543"/>
      <c r="G42" s="543"/>
      <c r="H42" s="543"/>
      <c r="I42" s="543"/>
      <c r="J42" s="543"/>
      <c r="K42" s="111"/>
      <c r="L42" s="909"/>
      <c r="M42" s="910"/>
      <c r="N42" s="910"/>
      <c r="O42" s="910"/>
      <c r="P42" s="911"/>
      <c r="Q42" s="910"/>
      <c r="R42" s="912"/>
      <c r="S42" s="1166"/>
      <c r="T42" s="913"/>
      <c r="U42" s="914"/>
      <c r="V42" s="914"/>
      <c r="W42" s="914"/>
      <c r="X42" s="543"/>
      <c r="Y42" s="543"/>
      <c r="Z42" s="52"/>
      <c r="AA42" s="52"/>
      <c r="AB42" s="786"/>
      <c r="AC42" s="787"/>
      <c r="AD42" s="559"/>
      <c r="AE42" s="788"/>
      <c r="AF42" s="788"/>
      <c r="AG42" s="51"/>
      <c r="AH42" s="52"/>
      <c r="AI42" s="97"/>
      <c r="AJ42" s="95"/>
      <c r="AK42" s="95"/>
      <c r="AL42" s="570"/>
      <c r="AM42" s="998"/>
      <c r="AN42" s="563"/>
      <c r="AO42" s="563"/>
      <c r="AP42" s="563"/>
      <c r="AQ42" s="563"/>
      <c r="AR42" s="563"/>
      <c r="AS42" s="563"/>
      <c r="AT42" s="563"/>
      <c r="AU42" s="563"/>
      <c r="AV42" s="563"/>
      <c r="AX42" s="543"/>
      <c r="AY42" s="543"/>
      <c r="AZ42" s="543"/>
      <c r="BA42" s="543"/>
      <c r="BB42" s="543"/>
      <c r="BC42" s="543"/>
      <c r="BD42" s="543"/>
      <c r="BE42" s="543"/>
      <c r="BF42" s="543"/>
      <c r="BG42" s="543"/>
      <c r="BH42" s="543"/>
      <c r="BI42" s="543"/>
      <c r="BJ42" s="543"/>
      <c r="BK42" s="543"/>
      <c r="BL42" s="543"/>
      <c r="BN42" s="548"/>
      <c r="BO42" s="548"/>
      <c r="BP42" s="548"/>
      <c r="BQ42" s="548"/>
      <c r="BR42" s="548"/>
      <c r="BS42" s="548"/>
      <c r="BT42" s="548"/>
      <c r="BU42" s="548"/>
      <c r="BV42" s="548"/>
      <c r="BW42" s="548"/>
      <c r="BX42" s="548"/>
      <c r="BY42" s="548"/>
      <c r="BZ42" s="548"/>
      <c r="CA42" s="548"/>
      <c r="CB42" s="548"/>
      <c r="CC42" s="1141"/>
      <c r="CD42" s="543"/>
      <c r="CE42" s="571"/>
      <c r="CF42" s="545"/>
      <c r="CG42" s="571"/>
      <c r="CH42" s="545"/>
      <c r="CI42" s="563"/>
      <c r="CJ42" s="563"/>
      <c r="CK42" s="543"/>
      <c r="CL42" s="543"/>
      <c r="CM42" s="566"/>
      <c r="CN42" s="566"/>
      <c r="CO42" s="566"/>
      <c r="CP42" s="566"/>
      <c r="CQ42" s="566"/>
      <c r="CR42" s="543"/>
    </row>
    <row r="43" spans="1:96" s="1011" customFormat="1">
      <c r="A43" s="554" t="s">
        <v>176</v>
      </c>
      <c r="B43" s="543"/>
      <c r="C43" s="568"/>
      <c r="D43" s="543"/>
      <c r="E43" s="543"/>
      <c r="F43" s="543"/>
      <c r="G43" s="543"/>
      <c r="H43" s="543"/>
      <c r="I43" s="543"/>
      <c r="J43" s="543"/>
      <c r="K43" s="543"/>
      <c r="L43" s="543"/>
      <c r="M43" s="543"/>
      <c r="N43" s="543"/>
      <c r="O43" s="543"/>
      <c r="P43" s="543"/>
      <c r="Q43" s="543"/>
      <c r="R43" s="543"/>
      <c r="S43" s="1166"/>
      <c r="T43" s="1406" t="s">
        <v>509</v>
      </c>
      <c r="U43" s="1407">
        <f>(1-U7)*U12</f>
        <v>0.31063529411764712</v>
      </c>
      <c r="V43" s="1407">
        <f>(1-V7)*V12</f>
        <v>0.44006666666666672</v>
      </c>
      <c r="W43" s="1407">
        <f>(1-W7)*W12</f>
        <v>0.22003333333333333</v>
      </c>
      <c r="X43" s="1407">
        <f>(1-X7)*X12</f>
        <v>0.22003333333333333</v>
      </c>
      <c r="Y43" s="1407">
        <f>(1-Y7)*Y12</f>
        <v>0.22003333333333333</v>
      </c>
      <c r="Z43" s="51"/>
      <c r="AA43" s="97"/>
      <c r="AB43" s="561"/>
      <c r="AC43" s="559"/>
      <c r="AD43" s="559"/>
      <c r="AE43" s="788"/>
      <c r="AF43" s="788"/>
      <c r="AG43" s="47"/>
      <c r="AH43" s="51"/>
      <c r="AI43" s="52"/>
      <c r="AJ43" s="95"/>
      <c r="AK43" s="433"/>
      <c r="AL43" s="545"/>
      <c r="AM43" s="998"/>
      <c r="AN43" s="547"/>
      <c r="AO43" s="574"/>
      <c r="AP43" s="574"/>
      <c r="AQ43" s="574"/>
      <c r="AR43" s="574"/>
      <c r="AS43" s="574"/>
      <c r="AT43" s="574"/>
      <c r="AU43" s="574"/>
      <c r="AV43" s="574"/>
      <c r="AX43" s="543"/>
      <c r="AY43" s="543"/>
      <c r="AZ43" s="543"/>
      <c r="BA43" s="543"/>
      <c r="BB43" s="543"/>
      <c r="BC43" s="543"/>
      <c r="BD43" s="543"/>
      <c r="BE43" s="543"/>
      <c r="BF43" s="543"/>
      <c r="BG43" s="543"/>
      <c r="BH43" s="543"/>
      <c r="BI43" s="543"/>
      <c r="BJ43" s="543"/>
      <c r="BK43" s="543"/>
      <c r="BL43" s="543"/>
      <c r="BN43" s="548"/>
      <c r="BO43" s="548"/>
      <c r="BP43" s="548"/>
      <c r="BQ43" s="548"/>
      <c r="BR43" s="548"/>
      <c r="BS43" s="548"/>
      <c r="BT43" s="548"/>
      <c r="BU43" s="548"/>
      <c r="BV43" s="548"/>
      <c r="BW43" s="548"/>
      <c r="BX43" s="548"/>
      <c r="BY43" s="548"/>
      <c r="BZ43" s="548"/>
      <c r="CA43" s="548"/>
      <c r="CB43" s="548"/>
      <c r="CC43" s="1141"/>
      <c r="CD43" s="543"/>
      <c r="CE43" s="543"/>
      <c r="CF43" s="543"/>
      <c r="CG43" s="543"/>
      <c r="CH43" s="543"/>
      <c r="CI43" s="543"/>
      <c r="CJ43" s="543"/>
      <c r="CK43" s="543"/>
      <c r="CL43" s="543"/>
      <c r="CM43" s="543"/>
      <c r="CN43" s="543"/>
      <c r="CO43" s="543"/>
      <c r="CP43" s="543"/>
      <c r="CQ43" s="543"/>
      <c r="CR43" s="543"/>
    </row>
    <row r="44" spans="1:96" s="1343" customFormat="1" ht="3.75" customHeight="1">
      <c r="A44" s="1345"/>
      <c r="C44" s="1346"/>
      <c r="S44" s="1347"/>
      <c r="V44" s="1326"/>
      <c r="W44" s="1324"/>
      <c r="X44" s="1324"/>
      <c r="Y44" s="1326"/>
      <c r="Z44" s="1326"/>
      <c r="AA44" s="1348"/>
      <c r="AB44" s="1341"/>
      <c r="AC44" s="1339"/>
      <c r="AD44" s="1339"/>
      <c r="AE44" s="1341"/>
      <c r="AF44" s="1341"/>
      <c r="AG44" s="1326"/>
      <c r="AH44" s="1326"/>
      <c r="AI44" s="1331"/>
      <c r="AJ44" s="1317"/>
      <c r="AK44" s="1349"/>
      <c r="AL44" s="1310"/>
      <c r="AM44" s="1306"/>
      <c r="AN44" s="1350"/>
      <c r="AO44" s="1351"/>
      <c r="AP44" s="1351"/>
      <c r="AQ44" s="1351"/>
      <c r="AR44" s="1351"/>
      <c r="AS44" s="1351"/>
      <c r="AT44" s="1351"/>
      <c r="AU44" s="1351"/>
      <c r="AV44" s="1351"/>
      <c r="BN44" s="1352"/>
      <c r="BO44" s="1352"/>
      <c r="BP44" s="1352"/>
      <c r="BQ44" s="1352"/>
      <c r="BR44" s="1352"/>
      <c r="BS44" s="1352"/>
      <c r="BT44" s="1352"/>
      <c r="BU44" s="1352"/>
      <c r="BV44" s="1352"/>
      <c r="BW44" s="1352"/>
      <c r="BX44" s="1352"/>
      <c r="BY44" s="1352"/>
      <c r="BZ44" s="1352"/>
      <c r="CA44" s="1352"/>
      <c r="CB44" s="1352"/>
      <c r="CC44" s="1352"/>
    </row>
    <row r="45" spans="1:96" s="1141" customFormat="1" ht="13.15" customHeight="1">
      <c r="A45" s="1301" t="s">
        <v>175</v>
      </c>
      <c r="B45" s="1294" t="s">
        <v>402</v>
      </c>
      <c r="C45" s="1295"/>
      <c r="D45" s="1296"/>
      <c r="E45" s="1295"/>
      <c r="F45" s="1295"/>
      <c r="G45" s="1295"/>
      <c r="H45" s="1295"/>
      <c r="I45" s="1295"/>
      <c r="J45" s="1295"/>
      <c r="K45" s="1295"/>
      <c r="L45" s="1295"/>
      <c r="M45" s="1295"/>
      <c r="N45" s="1295"/>
      <c r="O45" s="1295"/>
      <c r="P45" s="1295"/>
      <c r="Q45" s="1295"/>
      <c r="R45" s="1295"/>
      <c r="S45" s="1179"/>
      <c r="T45" s="1295"/>
      <c r="U45" s="1295"/>
      <c r="V45" s="1295"/>
      <c r="W45" s="1295"/>
      <c r="X45" s="1295"/>
      <c r="Y45" s="1295"/>
      <c r="Z45" s="1297"/>
      <c r="AA45" s="548"/>
      <c r="AB45" s="548"/>
      <c r="AC45" s="548"/>
      <c r="AD45" s="548"/>
      <c r="AE45" s="548"/>
      <c r="AF45" s="548"/>
      <c r="AG45" s="548"/>
      <c r="AH45" s="548"/>
      <c r="AI45" s="1295"/>
      <c r="AJ45" s="1295"/>
      <c r="AK45" s="1295"/>
      <c r="AL45" s="1295"/>
      <c r="AM45" s="998"/>
      <c r="AN45" s="548"/>
      <c r="AO45" s="548"/>
      <c r="AP45" s="548"/>
      <c r="AQ45" s="548"/>
      <c r="AR45" s="548"/>
      <c r="AS45" s="548"/>
      <c r="AT45" s="548"/>
      <c r="AU45" s="548"/>
      <c r="AV45" s="548"/>
      <c r="AX45" s="548"/>
      <c r="AY45" s="1295"/>
      <c r="AZ45" s="1295"/>
      <c r="BA45" s="1295"/>
      <c r="BB45" s="1295"/>
      <c r="BC45" s="1295"/>
      <c r="BD45" s="1295"/>
      <c r="BE45" s="1295"/>
      <c r="BF45" s="1295"/>
      <c r="BG45" s="1295"/>
      <c r="BH45" s="1295"/>
      <c r="BI45" s="1295"/>
      <c r="BJ45" s="1295"/>
      <c r="BK45" s="1295"/>
      <c r="BL45" s="1295"/>
      <c r="BN45" s="548"/>
      <c r="BO45" s="1295"/>
      <c r="BP45" s="1295"/>
      <c r="BQ45" s="1295"/>
      <c r="BR45" s="1295"/>
      <c r="BS45" s="1295"/>
      <c r="BT45" s="1295"/>
      <c r="BU45" s="1295"/>
      <c r="BV45" s="1295"/>
      <c r="BW45" s="1295"/>
      <c r="BX45" s="1295"/>
      <c r="BY45" s="1295"/>
      <c r="BZ45" s="1295"/>
      <c r="CA45" s="1295"/>
      <c r="CB45" s="1295"/>
      <c r="CD45" s="548"/>
      <c r="CE45" s="1299"/>
      <c r="CF45" s="1299"/>
      <c r="CG45" s="1299"/>
      <c r="CH45" s="1299"/>
      <c r="CI45" s="1299"/>
      <c r="CJ45" s="1299"/>
      <c r="CK45" s="1299"/>
      <c r="CL45" s="1299"/>
      <c r="CM45" s="1299"/>
      <c r="CN45" s="1299"/>
      <c r="CO45" s="1299"/>
      <c r="CP45" s="1299"/>
      <c r="CQ45" s="1299"/>
      <c r="CR45" s="1299"/>
    </row>
    <row r="46" spans="1:96" s="1141" customFormat="1" ht="13.15" customHeight="1">
      <c r="A46" s="1301"/>
      <c r="B46" s="551"/>
      <c r="C46" s="1277"/>
      <c r="D46" s="1296"/>
      <c r="E46" s="1295"/>
      <c r="F46" s="1295"/>
      <c r="G46" s="1295"/>
      <c r="H46" s="1295"/>
      <c r="I46" s="1295"/>
      <c r="J46" s="1295"/>
      <c r="K46" s="1295"/>
      <c r="L46" s="1295"/>
      <c r="M46" s="1295"/>
      <c r="N46" s="1295"/>
      <c r="O46" s="1295"/>
      <c r="P46" s="1295"/>
      <c r="Q46" s="1295"/>
      <c r="R46" s="1295"/>
      <c r="S46" s="1179"/>
      <c r="T46" s="1295"/>
      <c r="U46" s="1295"/>
      <c r="V46" s="1295"/>
      <c r="W46" s="1295"/>
      <c r="X46" s="1295"/>
      <c r="Y46" s="1295"/>
      <c r="Z46" s="1297"/>
      <c r="AA46" s="548"/>
      <c r="AB46" s="548"/>
      <c r="AC46" s="548"/>
      <c r="AD46" s="548"/>
      <c r="AE46" s="548"/>
      <c r="AF46" s="548"/>
      <c r="AG46" s="548"/>
      <c r="AH46" s="548"/>
      <c r="AI46" s="1295"/>
      <c r="AJ46" s="1295"/>
      <c r="AK46" s="1295"/>
      <c r="AL46" s="1295"/>
      <c r="AM46" s="998"/>
      <c r="AN46" s="548"/>
      <c r="AO46" s="548"/>
      <c r="AP46" s="548"/>
      <c r="AQ46" s="548"/>
      <c r="AR46" s="548"/>
      <c r="AS46" s="548"/>
      <c r="AT46" s="548"/>
      <c r="AU46" s="548"/>
      <c r="AV46" s="548"/>
      <c r="AX46" s="548"/>
      <c r="AY46" s="1295"/>
      <c r="AZ46" s="1295"/>
      <c r="BA46" s="1295"/>
      <c r="BB46" s="1295"/>
      <c r="BC46" s="1295"/>
      <c r="BD46" s="1295"/>
      <c r="BE46" s="1295"/>
      <c r="BF46" s="1295"/>
      <c r="BG46" s="1295"/>
      <c r="BH46" s="1295"/>
      <c r="BI46" s="1295"/>
      <c r="BJ46" s="1295"/>
      <c r="BK46" s="1295"/>
      <c r="BL46" s="1295"/>
      <c r="BN46" s="548"/>
      <c r="BO46" s="1295"/>
      <c r="BP46" s="1295"/>
      <c r="BQ46" s="1295"/>
      <c r="BR46" s="1295"/>
      <c r="BS46" s="1295"/>
      <c r="BT46" s="1295"/>
      <c r="BU46" s="1295"/>
      <c r="BV46" s="1295"/>
      <c r="BW46" s="1295"/>
      <c r="BX46" s="1295"/>
      <c r="BY46" s="1295"/>
      <c r="BZ46" s="1295"/>
      <c r="CA46" s="1295"/>
      <c r="CB46" s="1295"/>
      <c r="CD46" s="548"/>
      <c r="CE46" s="1299"/>
      <c r="CF46" s="1299"/>
      <c r="CG46" s="1299"/>
      <c r="CH46" s="1299"/>
      <c r="CI46" s="1299"/>
      <c r="CJ46" s="1299"/>
      <c r="CK46" s="1299"/>
      <c r="CL46" s="1299"/>
      <c r="CM46" s="1299"/>
      <c r="CN46" s="1299"/>
      <c r="CO46" s="1299"/>
      <c r="CP46" s="1299"/>
      <c r="CQ46" s="1299"/>
      <c r="CR46" s="1299"/>
    </row>
    <row r="47" spans="1:96" s="1141" customFormat="1" ht="13.15" customHeight="1">
      <c r="A47" s="1301"/>
      <c r="B47" s="551"/>
      <c r="C47" s="1277"/>
      <c r="D47" s="1296"/>
      <c r="E47" s="1295"/>
      <c r="F47" s="1295"/>
      <c r="G47" s="1295"/>
      <c r="H47" s="1295"/>
      <c r="I47" s="1295"/>
      <c r="J47" s="1295"/>
      <c r="K47" s="1295"/>
      <c r="L47" s="1295"/>
      <c r="M47" s="1295"/>
      <c r="N47" s="1295"/>
      <c r="O47" s="1295"/>
      <c r="P47" s="1295"/>
      <c r="Q47" s="1295"/>
      <c r="R47" s="1295"/>
      <c r="S47" s="1179"/>
      <c r="T47" s="1295"/>
      <c r="U47" s="1295"/>
      <c r="V47" s="1295"/>
      <c r="W47" s="1295"/>
      <c r="X47" s="1295"/>
      <c r="Y47" s="1295"/>
      <c r="Z47" s="1297"/>
      <c r="AA47" s="548"/>
      <c r="AB47" s="548"/>
      <c r="AC47" s="548"/>
      <c r="AD47" s="548"/>
      <c r="AE47" s="548"/>
      <c r="AF47" s="548"/>
      <c r="AG47" s="548"/>
      <c r="AH47" s="548"/>
      <c r="AI47" s="1295"/>
      <c r="AJ47" s="1295"/>
      <c r="AK47" s="1295"/>
      <c r="AL47" s="1295"/>
      <c r="AM47" s="998"/>
      <c r="AN47" s="548"/>
      <c r="AO47" s="548"/>
      <c r="AP47" s="548"/>
      <c r="AQ47" s="548"/>
      <c r="AR47" s="548"/>
      <c r="AS47" s="548"/>
      <c r="AT47" s="548"/>
      <c r="AU47" s="548"/>
      <c r="AV47" s="548"/>
      <c r="AX47" s="548"/>
      <c r="AY47" s="1295"/>
      <c r="AZ47" s="1295"/>
      <c r="BA47" s="1295"/>
      <c r="BB47" s="1295"/>
      <c r="BC47" s="1295"/>
      <c r="BD47" s="1295"/>
      <c r="BE47" s="1295"/>
      <c r="BF47" s="1295"/>
      <c r="BG47" s="1295"/>
      <c r="BH47" s="1295"/>
      <c r="BI47" s="1295"/>
      <c r="BJ47" s="1295"/>
      <c r="BK47" s="1295"/>
      <c r="BL47" s="1295"/>
      <c r="BN47" s="548"/>
      <c r="BO47" s="1295"/>
      <c r="BP47" s="1295"/>
      <c r="BQ47" s="1295"/>
      <c r="BR47" s="1295"/>
      <c r="BS47" s="1295"/>
      <c r="BT47" s="1295"/>
      <c r="BU47" s="1295"/>
      <c r="BV47" s="1295"/>
      <c r="BW47" s="1295"/>
      <c r="BX47" s="1295"/>
      <c r="BY47" s="1295"/>
      <c r="BZ47" s="1295"/>
      <c r="CA47" s="1295"/>
      <c r="CB47" s="1295"/>
      <c r="CD47" s="548"/>
      <c r="CE47" s="1299"/>
      <c r="CF47" s="1299"/>
      <c r="CG47" s="1299"/>
      <c r="CH47" s="1299"/>
      <c r="CI47" s="1299"/>
      <c r="CJ47" s="1299"/>
      <c r="CK47" s="1299"/>
      <c r="CL47" s="1299"/>
      <c r="CM47" s="1299"/>
      <c r="CN47" s="1299"/>
      <c r="CO47" s="1299"/>
      <c r="CP47" s="1299"/>
      <c r="CQ47" s="1299"/>
      <c r="CR47" s="1299"/>
    </row>
    <row r="48" spans="1:96" s="1141" customFormat="1" ht="13.15" customHeight="1">
      <c r="A48" s="1301"/>
      <c r="B48" s="551"/>
      <c r="C48" s="1277"/>
      <c r="D48" s="1296"/>
      <c r="E48" s="1295"/>
      <c r="F48" s="1295"/>
      <c r="G48" s="1295"/>
      <c r="H48" s="1295"/>
      <c r="I48" s="1295"/>
      <c r="J48" s="1295"/>
      <c r="K48" s="1295"/>
      <c r="L48" s="1295"/>
      <c r="M48" s="1295"/>
      <c r="N48" s="1295"/>
      <c r="O48" s="1295"/>
      <c r="P48" s="1295"/>
      <c r="Q48" s="1295"/>
      <c r="R48" s="1295"/>
      <c r="S48" s="1179"/>
      <c r="T48" s="1295"/>
      <c r="U48" s="1295"/>
      <c r="V48" s="1295"/>
      <c r="W48" s="1295"/>
      <c r="X48" s="1295"/>
      <c r="Y48" s="1295"/>
      <c r="Z48" s="1297"/>
      <c r="AA48" s="548"/>
      <c r="AB48" s="548"/>
      <c r="AC48" s="548"/>
      <c r="AD48" s="548"/>
      <c r="AE48" s="548"/>
      <c r="AF48" s="548"/>
      <c r="AG48" s="548"/>
      <c r="AH48" s="548"/>
      <c r="AI48" s="1295"/>
      <c r="AJ48" s="1295"/>
      <c r="AK48" s="1295"/>
      <c r="AL48" s="1295"/>
      <c r="AM48" s="998"/>
      <c r="AN48" s="548"/>
      <c r="AO48" s="548"/>
      <c r="AP48" s="548"/>
      <c r="AQ48" s="548"/>
      <c r="AR48" s="548"/>
      <c r="AS48" s="548"/>
      <c r="AT48" s="548"/>
      <c r="AU48" s="548"/>
      <c r="AV48" s="548"/>
      <c r="AX48" s="548"/>
      <c r="AY48" s="1295"/>
      <c r="AZ48" s="1295"/>
      <c r="BA48" s="1295"/>
      <c r="BB48" s="1295"/>
      <c r="BC48" s="1295"/>
      <c r="BD48" s="1295"/>
      <c r="BE48" s="1295"/>
      <c r="BF48" s="1295"/>
      <c r="BG48" s="1295"/>
      <c r="BH48" s="1295"/>
      <c r="BI48" s="1295"/>
      <c r="BJ48" s="1295"/>
      <c r="BK48" s="1295"/>
      <c r="BL48" s="1295"/>
      <c r="BN48" s="548"/>
      <c r="BO48" s="1295"/>
      <c r="BP48" s="1295"/>
      <c r="BQ48" s="1295"/>
      <c r="BR48" s="1295"/>
      <c r="BS48" s="1295"/>
      <c r="BT48" s="1295"/>
      <c r="BU48" s="1295"/>
      <c r="BV48" s="1295"/>
      <c r="BW48" s="1295"/>
      <c r="BX48" s="1295"/>
      <c r="BY48" s="1295"/>
      <c r="BZ48" s="1295"/>
      <c r="CA48" s="1295"/>
      <c r="CB48" s="1295"/>
      <c r="CD48" s="548"/>
      <c r="CE48" s="1299"/>
      <c r="CF48" s="1299"/>
      <c r="CG48" s="1299"/>
      <c r="CH48" s="1299"/>
      <c r="CI48" s="1299"/>
      <c r="CJ48" s="1299"/>
      <c r="CK48" s="1299"/>
      <c r="CL48" s="1299"/>
      <c r="CM48" s="1299"/>
      <c r="CN48" s="1299"/>
      <c r="CO48" s="1299"/>
      <c r="CP48" s="1299"/>
      <c r="CQ48" s="1299"/>
      <c r="CR48" s="1299"/>
    </row>
    <row r="49" spans="1:96" s="1141" customFormat="1">
      <c r="A49" s="1301"/>
      <c r="B49" s="1277"/>
      <c r="C49" s="552"/>
      <c r="D49" s="1298"/>
      <c r="E49" s="1299"/>
      <c r="F49" s="1299"/>
      <c r="G49" s="1299"/>
      <c r="H49" s="1299"/>
      <c r="I49" s="1299"/>
      <c r="J49" s="1299"/>
      <c r="K49" s="1299"/>
      <c r="L49" s="1299"/>
      <c r="M49" s="1299"/>
      <c r="N49" s="1299"/>
      <c r="O49" s="1299"/>
      <c r="P49" s="1299"/>
      <c r="Q49" s="1299"/>
      <c r="R49" s="1299"/>
      <c r="T49" s="1299"/>
      <c r="U49" s="1299"/>
      <c r="V49" s="1299"/>
      <c r="W49" s="1299"/>
      <c r="X49" s="1299"/>
      <c r="Y49" s="1299"/>
      <c r="Z49" s="1300"/>
      <c r="AA49" s="548"/>
      <c r="AB49" s="548"/>
      <c r="AC49" s="548"/>
      <c r="AD49" s="548"/>
      <c r="AE49" s="548"/>
      <c r="AF49" s="548"/>
      <c r="AG49" s="548"/>
      <c r="AH49" s="686"/>
      <c r="AI49" s="1295"/>
      <c r="AJ49" s="1295"/>
      <c r="AK49" s="1295"/>
      <c r="AL49" s="1295"/>
      <c r="AM49" s="998"/>
      <c r="AN49" s="548"/>
      <c r="AO49" s="548"/>
      <c r="AP49" s="548"/>
      <c r="AQ49" s="548"/>
      <c r="AR49" s="548"/>
      <c r="AS49" s="548"/>
      <c r="AT49" s="548"/>
      <c r="AU49" s="548"/>
      <c r="AV49" s="548"/>
      <c r="AX49" s="548"/>
      <c r="AY49" s="1299"/>
      <c r="AZ49" s="1299"/>
      <c r="BA49" s="1299"/>
      <c r="BB49" s="1299"/>
      <c r="BC49" s="1299"/>
      <c r="BD49" s="1299"/>
      <c r="BE49" s="1299"/>
      <c r="BF49" s="1299"/>
      <c r="BG49" s="1299"/>
      <c r="BH49" s="1299"/>
      <c r="BI49" s="1299"/>
      <c r="BJ49" s="1299"/>
      <c r="BK49" s="1299"/>
      <c r="BL49" s="1299"/>
      <c r="BN49" s="548"/>
      <c r="BO49" s="1299"/>
      <c r="BP49" s="1299"/>
      <c r="BQ49" s="1299"/>
      <c r="BR49" s="1299"/>
      <c r="BS49" s="1299"/>
      <c r="BT49" s="1299"/>
      <c r="BU49" s="1299"/>
      <c r="BV49" s="1299"/>
      <c r="BW49" s="1299"/>
      <c r="BX49" s="1299"/>
      <c r="BY49" s="1299"/>
      <c r="BZ49" s="1299"/>
      <c r="CA49" s="1299"/>
      <c r="CB49" s="1299"/>
      <c r="CD49" s="548"/>
      <c r="CE49" s="1299"/>
      <c r="CF49" s="1299"/>
      <c r="CG49" s="1299"/>
      <c r="CH49" s="1299"/>
      <c r="CI49" s="1299"/>
      <c r="CJ49" s="1299"/>
      <c r="CK49" s="1299"/>
      <c r="CL49" s="1299"/>
      <c r="CM49" s="1299"/>
      <c r="CN49" s="1299"/>
      <c r="CO49" s="1299"/>
      <c r="CP49" s="1299"/>
      <c r="CQ49" s="1299"/>
      <c r="CR49" s="1299"/>
    </row>
    <row r="50" spans="1:96" s="1141" customFormat="1">
      <c r="A50" s="1301"/>
      <c r="B50" s="1277"/>
      <c r="C50" s="552"/>
      <c r="D50" s="1298"/>
      <c r="E50" s="1299"/>
      <c r="F50" s="1299"/>
      <c r="G50" s="1299"/>
      <c r="H50" s="1299"/>
      <c r="I50" s="1299"/>
      <c r="J50" s="1299"/>
      <c r="K50" s="1299"/>
      <c r="L50" s="1299"/>
      <c r="M50" s="1299"/>
      <c r="N50" s="1299"/>
      <c r="O50" s="1299"/>
      <c r="P50" s="1299"/>
      <c r="Q50" s="1299"/>
      <c r="R50" s="1299"/>
      <c r="T50" s="1299"/>
      <c r="U50" s="1299"/>
      <c r="V50" s="1299"/>
      <c r="W50" s="1299"/>
      <c r="X50" s="1299"/>
      <c r="Y50" s="1299"/>
      <c r="Z50" s="1300"/>
      <c r="AA50" s="548"/>
      <c r="AB50" s="548"/>
      <c r="AC50" s="548"/>
      <c r="AD50" s="548"/>
      <c r="AE50" s="548"/>
      <c r="AF50" s="548"/>
      <c r="AG50" s="548"/>
      <c r="AH50" s="686"/>
      <c r="AI50" s="1295"/>
      <c r="AJ50" s="1295"/>
      <c r="AK50" s="1295"/>
      <c r="AL50" s="1295"/>
      <c r="AM50" s="998"/>
      <c r="AN50" s="548"/>
      <c r="AO50" s="548"/>
      <c r="AP50" s="548"/>
      <c r="AQ50" s="548"/>
      <c r="AR50" s="548"/>
      <c r="AS50" s="548"/>
      <c r="AT50" s="548"/>
      <c r="AU50" s="548"/>
      <c r="AV50" s="548"/>
      <c r="AX50" s="548"/>
      <c r="AY50" s="1299"/>
      <c r="AZ50" s="1299"/>
      <c r="BA50" s="1299"/>
      <c r="BB50" s="1299"/>
      <c r="BC50" s="1299"/>
      <c r="BD50" s="1299"/>
      <c r="BE50" s="1299"/>
      <c r="BF50" s="1299"/>
      <c r="BG50" s="1299"/>
      <c r="BH50" s="1299"/>
      <c r="BI50" s="1299"/>
      <c r="BJ50" s="1299"/>
      <c r="BK50" s="1299"/>
      <c r="BL50" s="1299"/>
      <c r="BN50" s="548"/>
      <c r="BO50" s="1299"/>
      <c r="BP50" s="1299"/>
      <c r="BQ50" s="1299"/>
      <c r="BR50" s="1299"/>
      <c r="BS50" s="1299"/>
      <c r="BT50" s="1299"/>
      <c r="BU50" s="1299"/>
      <c r="BV50" s="1299"/>
      <c r="BW50" s="1299"/>
      <c r="BX50" s="1299"/>
      <c r="BY50" s="1299"/>
      <c r="BZ50" s="1299"/>
      <c r="CA50" s="1299"/>
      <c r="CB50" s="1299"/>
      <c r="CD50" s="548"/>
      <c r="CE50" s="1299"/>
      <c r="CF50" s="1299"/>
      <c r="CG50" s="1299"/>
      <c r="CH50" s="1299"/>
      <c r="CI50" s="1299"/>
      <c r="CJ50" s="1299"/>
      <c r="CK50" s="1299"/>
      <c r="CL50" s="1299"/>
      <c r="CM50" s="1299"/>
      <c r="CN50" s="1299"/>
      <c r="CO50" s="1299"/>
      <c r="CP50" s="1299"/>
      <c r="CQ50" s="1299"/>
      <c r="CR50" s="1299"/>
    </row>
    <row r="51" spans="1:96" s="1141" customFormat="1">
      <c r="A51" s="1301"/>
      <c r="B51" s="1277"/>
      <c r="C51" s="552"/>
      <c r="D51" s="1298"/>
      <c r="E51" s="1299"/>
      <c r="F51" s="1299"/>
      <c r="G51" s="1299"/>
      <c r="H51" s="1299"/>
      <c r="I51" s="1299"/>
      <c r="J51" s="1299"/>
      <c r="K51" s="1299"/>
      <c r="L51" s="1299"/>
      <c r="M51" s="1299"/>
      <c r="N51" s="1299"/>
      <c r="O51" s="1299"/>
      <c r="P51" s="1299"/>
      <c r="Q51" s="1299"/>
      <c r="R51" s="1299"/>
      <c r="T51" s="1299"/>
      <c r="U51" s="1299"/>
      <c r="V51" s="1299"/>
      <c r="W51" s="1299"/>
      <c r="X51" s="1299"/>
      <c r="Y51" s="1299"/>
      <c r="Z51" s="1300"/>
      <c r="AA51" s="548"/>
      <c r="AB51" s="548"/>
      <c r="AC51" s="548"/>
      <c r="AD51" s="548"/>
      <c r="AE51" s="548"/>
      <c r="AF51" s="548"/>
      <c r="AG51" s="548"/>
      <c r="AH51" s="686"/>
      <c r="AI51" s="1295"/>
      <c r="AJ51" s="1295"/>
      <c r="AK51" s="1295"/>
      <c r="AL51" s="1295"/>
      <c r="AM51" s="998"/>
      <c r="AN51" s="548"/>
      <c r="AO51" s="548"/>
      <c r="AP51" s="548"/>
      <c r="AQ51" s="548"/>
      <c r="AR51" s="548"/>
      <c r="AS51" s="548"/>
      <c r="AT51" s="548"/>
      <c r="AU51" s="548"/>
      <c r="AV51" s="548"/>
      <c r="AX51" s="548"/>
      <c r="AY51" s="1299"/>
      <c r="AZ51" s="1299"/>
      <c r="BA51" s="1299"/>
      <c r="BB51" s="1299"/>
      <c r="BC51" s="1299"/>
      <c r="BD51" s="1299"/>
      <c r="BE51" s="1299"/>
      <c r="BF51" s="1299"/>
      <c r="BG51" s="1299"/>
      <c r="BH51" s="1299"/>
      <c r="BI51" s="1299"/>
      <c r="BJ51" s="1299"/>
      <c r="BK51" s="1299"/>
      <c r="BL51" s="1299"/>
      <c r="BN51" s="548"/>
      <c r="BO51" s="1299"/>
      <c r="BP51" s="1299"/>
      <c r="BQ51" s="1299"/>
      <c r="BR51" s="1299"/>
      <c r="BS51" s="1299"/>
      <c r="BT51" s="1299"/>
      <c r="BU51" s="1299"/>
      <c r="BV51" s="1299"/>
      <c r="BW51" s="1299"/>
      <c r="BX51" s="1299"/>
      <c r="BY51" s="1299"/>
      <c r="BZ51" s="1299"/>
      <c r="CA51" s="1299"/>
      <c r="CB51" s="1299"/>
      <c r="CD51" s="548"/>
      <c r="CE51" s="1299"/>
      <c r="CF51" s="1299"/>
      <c r="CG51" s="1299"/>
      <c r="CH51" s="1299"/>
      <c r="CI51" s="1299"/>
      <c r="CJ51" s="1299"/>
      <c r="CK51" s="1299"/>
      <c r="CL51" s="1299"/>
      <c r="CM51" s="1299"/>
      <c r="CN51" s="1299"/>
      <c r="CO51" s="1299"/>
      <c r="CP51" s="1299"/>
      <c r="CQ51" s="1299"/>
      <c r="CR51" s="1299"/>
    </row>
    <row r="52" spans="1:96" s="1012" customFormat="1">
      <c r="A52" s="226"/>
      <c r="B52" s="432"/>
      <c r="C52" s="114"/>
      <c r="D52" s="309"/>
      <c r="E52" s="111"/>
      <c r="F52" s="111"/>
      <c r="G52" s="111"/>
      <c r="H52" s="111"/>
      <c r="I52" s="111"/>
      <c r="J52" s="111"/>
      <c r="K52" s="111"/>
      <c r="L52" s="111"/>
      <c r="M52" s="111"/>
      <c r="N52" s="111"/>
      <c r="O52" s="111"/>
      <c r="P52" s="111"/>
      <c r="Q52" s="111"/>
      <c r="R52" s="111"/>
      <c r="S52" s="1159"/>
      <c r="T52" s="111"/>
      <c r="U52" s="111"/>
      <c r="V52" s="111"/>
      <c r="W52" s="111"/>
      <c r="X52" s="111"/>
      <c r="Y52" s="111"/>
      <c r="Z52" s="111"/>
      <c r="AA52" s="111"/>
      <c r="AB52" s="111"/>
      <c r="AC52" s="111"/>
      <c r="AD52" s="111"/>
      <c r="AE52" s="111"/>
      <c r="AF52" s="111"/>
      <c r="AG52" s="111"/>
      <c r="AH52" s="202"/>
      <c r="AI52" s="105"/>
      <c r="AJ52" s="122"/>
      <c r="AK52" s="122"/>
      <c r="AL52" s="122"/>
      <c r="AM52" s="998"/>
      <c r="AN52" s="547"/>
      <c r="AO52" s="547"/>
      <c r="AP52" s="547"/>
      <c r="AQ52" s="547"/>
      <c r="AR52" s="547"/>
      <c r="AS52" s="547"/>
      <c r="AT52" s="547"/>
      <c r="AU52" s="547"/>
      <c r="AV52" s="547"/>
      <c r="AW52" s="1011"/>
      <c r="AX52" s="543"/>
      <c r="AY52" s="414"/>
      <c r="AZ52" s="414"/>
      <c r="BA52" s="414"/>
      <c r="BB52" s="414"/>
      <c r="BC52" s="414"/>
      <c r="BD52" s="414"/>
      <c r="BE52" s="414"/>
      <c r="BF52" s="414"/>
      <c r="BG52" s="414"/>
      <c r="BH52" s="414"/>
      <c r="BI52" s="414"/>
      <c r="BJ52" s="414"/>
      <c r="BK52" s="414"/>
      <c r="BL52" s="414"/>
      <c r="BN52" s="414"/>
      <c r="BO52" s="414"/>
      <c r="BP52" s="414"/>
      <c r="BQ52" s="414"/>
      <c r="BR52" s="414"/>
      <c r="BS52" s="414"/>
      <c r="BT52" s="414"/>
      <c r="BU52" s="414"/>
      <c r="BV52" s="414"/>
      <c r="BW52" s="414"/>
      <c r="BX52" s="414"/>
      <c r="BY52" s="414"/>
      <c r="BZ52" s="414"/>
      <c r="CA52" s="414"/>
      <c r="CB52" s="414"/>
      <c r="CC52" s="1005"/>
      <c r="CD52" s="111"/>
      <c r="CE52" s="111"/>
      <c r="CF52" s="111"/>
      <c r="CG52" s="111"/>
      <c r="CH52" s="111"/>
      <c r="CI52" s="111"/>
      <c r="CJ52" s="111"/>
      <c r="CK52" s="111"/>
      <c r="CL52" s="111"/>
      <c r="CM52" s="111"/>
      <c r="CN52" s="111"/>
      <c r="CO52" s="111"/>
      <c r="CP52" s="111"/>
      <c r="CQ52" s="111"/>
      <c r="CR52" s="111"/>
    </row>
    <row r="53" spans="1:96" s="1012" customFormat="1" ht="12.75" customHeight="1" thickBot="1">
      <c r="A53" s="1036"/>
      <c r="B53" s="998"/>
      <c r="C53" s="1037"/>
      <c r="D53" s="1038"/>
      <c r="S53" s="1159"/>
      <c r="AH53" s="1039"/>
      <c r="AI53" s="1040"/>
      <c r="AJ53" s="1026"/>
      <c r="AK53" s="1026"/>
      <c r="AL53" s="1026"/>
      <c r="AM53" s="998"/>
      <c r="AN53" s="1041"/>
      <c r="AO53" s="1041"/>
      <c r="AP53" s="1041"/>
      <c r="AQ53" s="1041"/>
      <c r="AR53" s="1041"/>
      <c r="AS53" s="1041"/>
      <c r="AT53" s="1041"/>
      <c r="AU53" s="1041"/>
      <c r="AV53" s="1041"/>
      <c r="AW53" s="1011"/>
      <c r="AX53" s="1011"/>
      <c r="AY53" s="1005"/>
      <c r="AZ53" s="1005"/>
      <c r="BA53" s="1005"/>
      <c r="BB53" s="1005"/>
      <c r="BC53" s="1005"/>
      <c r="BD53" s="1005"/>
      <c r="BE53" s="1005"/>
      <c r="BF53" s="1005"/>
      <c r="BG53" s="1005"/>
      <c r="BH53" s="1005"/>
      <c r="BI53" s="1005"/>
      <c r="BJ53" s="1005"/>
      <c r="BK53" s="1005"/>
      <c r="BL53" s="1005"/>
      <c r="BN53" s="1005"/>
      <c r="BO53" s="1005"/>
      <c r="BP53" s="1005"/>
      <c r="BQ53" s="1005"/>
      <c r="BR53" s="1005"/>
      <c r="BS53" s="1005"/>
      <c r="BT53" s="1005"/>
      <c r="BU53" s="1005"/>
      <c r="BV53" s="1005"/>
      <c r="BW53" s="1005"/>
      <c r="BX53" s="1005"/>
      <c r="BY53" s="1005"/>
      <c r="BZ53" s="1005"/>
      <c r="CA53" s="1005"/>
      <c r="CB53" s="1005"/>
      <c r="CC53" s="1005"/>
    </row>
    <row r="54" spans="1:96" s="1012" customFormat="1" ht="13.5" thickBot="1">
      <c r="A54" s="226"/>
      <c r="B54" s="1805" t="s">
        <v>385</v>
      </c>
      <c r="C54" s="1806"/>
      <c r="D54" s="399"/>
      <c r="E54" s="1785" t="s">
        <v>396</v>
      </c>
      <c r="F54" s="1786"/>
      <c r="G54" s="111"/>
      <c r="H54" s="111"/>
      <c r="I54" s="111"/>
      <c r="J54" s="111"/>
      <c r="K54" s="111"/>
      <c r="L54" s="111"/>
      <c r="M54" s="111"/>
      <c r="N54" s="111"/>
      <c r="O54" s="111"/>
      <c r="P54" s="111"/>
      <c r="Q54" s="111"/>
      <c r="R54" s="111"/>
      <c r="S54" s="1159"/>
      <c r="T54" s="111"/>
      <c r="U54" s="111"/>
      <c r="V54" s="111"/>
      <c r="W54" s="111"/>
      <c r="X54" s="111"/>
      <c r="Y54" s="111"/>
      <c r="Z54" s="111"/>
      <c r="AA54" s="111"/>
      <c r="AB54" s="111"/>
      <c r="AC54" s="111"/>
      <c r="AD54" s="111"/>
      <c r="AE54" s="111"/>
      <c r="AF54" s="111"/>
      <c r="AG54" s="111"/>
      <c r="AH54" s="202"/>
      <c r="AI54" s="105"/>
      <c r="AJ54" s="122"/>
      <c r="AK54" s="122"/>
      <c r="AL54" s="122"/>
      <c r="AM54" s="998"/>
      <c r="AN54" s="547"/>
      <c r="AO54" s="547"/>
      <c r="AP54" s="547"/>
      <c r="AQ54" s="547"/>
      <c r="AR54" s="547"/>
      <c r="AS54" s="547"/>
      <c r="AT54" s="547"/>
      <c r="AU54" s="547"/>
      <c r="AV54" s="547"/>
      <c r="AW54" s="1011"/>
      <c r="AX54" s="543"/>
      <c r="AY54" s="548"/>
      <c r="AZ54" s="548"/>
      <c r="BA54" s="414"/>
      <c r="BB54" s="414"/>
      <c r="BC54" s="414"/>
      <c r="BD54" s="414"/>
      <c r="BE54" s="414"/>
      <c r="BF54" s="414"/>
      <c r="BG54" s="414"/>
      <c r="BH54" s="414"/>
      <c r="BI54" s="414"/>
      <c r="BJ54" s="414"/>
      <c r="BK54" s="414"/>
      <c r="BL54" s="414"/>
      <c r="BN54" s="414"/>
      <c r="BO54" s="414"/>
      <c r="BP54" s="414"/>
      <c r="BQ54" s="414"/>
      <c r="BR54" s="414"/>
      <c r="BS54" s="414"/>
      <c r="BT54" s="414"/>
      <c r="BU54" s="414"/>
      <c r="BV54" s="414"/>
      <c r="BW54" s="414"/>
      <c r="BX54" s="414"/>
      <c r="BY54" s="414"/>
      <c r="BZ54" s="414"/>
      <c r="CA54" s="414"/>
      <c r="CB54" s="414"/>
      <c r="CC54" s="1005"/>
      <c r="CD54" s="111"/>
      <c r="CE54" s="111"/>
      <c r="CF54" s="111"/>
      <c r="CG54" s="111"/>
      <c r="CH54" s="111"/>
      <c r="CI54" s="111"/>
      <c r="CJ54" s="111"/>
      <c r="CK54" s="111"/>
      <c r="CL54" s="111"/>
      <c r="CM54" s="111"/>
      <c r="CN54" s="111"/>
      <c r="CO54" s="111"/>
      <c r="CP54" s="111"/>
      <c r="CQ54" s="111"/>
      <c r="CR54" s="111"/>
    </row>
    <row r="55" spans="1:96">
      <c r="A55" s="216"/>
      <c r="B55" s="154"/>
      <c r="C55" s="87"/>
      <c r="D55" s="300"/>
      <c r="E55" s="48"/>
      <c r="F55" s="48"/>
      <c r="G55" s="48"/>
      <c r="H55" s="152"/>
      <c r="I55" s="153"/>
      <c r="J55" s="48"/>
      <c r="K55" s="48"/>
      <c r="L55" s="48"/>
      <c r="M55" s="48"/>
      <c r="N55" s="48"/>
      <c r="O55" s="67"/>
      <c r="P55" s="49"/>
      <c r="Q55" s="67"/>
      <c r="R55" s="67"/>
      <c r="T55" s="69"/>
      <c r="U55" s="69"/>
      <c r="V55" s="69"/>
      <c r="W55" s="69"/>
      <c r="X55" s="69"/>
      <c r="Y55" s="69"/>
      <c r="Z55" s="69"/>
      <c r="AA55" s="67"/>
      <c r="AB55" s="112"/>
      <c r="AC55" s="113"/>
      <c r="AD55" s="113"/>
      <c r="AE55" s="69"/>
      <c r="AF55" s="69"/>
      <c r="AG55" s="47"/>
      <c r="AH55" s="69"/>
      <c r="AI55" s="67"/>
      <c r="AJ55" s="255"/>
      <c r="AK55" s="255"/>
      <c r="AL55" s="255"/>
      <c r="AN55" s="575"/>
      <c r="AO55" s="575"/>
      <c r="AP55" s="575"/>
      <c r="AQ55" s="1775" t="s">
        <v>622</v>
      </c>
      <c r="AR55" s="575"/>
      <c r="AS55" s="575"/>
      <c r="AT55" s="575"/>
      <c r="AU55" s="575"/>
      <c r="AV55" s="575"/>
      <c r="AW55" s="1148"/>
      <c r="AX55" s="575"/>
      <c r="AY55" s="575"/>
      <c r="AZ55" s="575"/>
      <c r="BA55" s="48"/>
      <c r="BB55" s="201" t="s">
        <v>450</v>
      </c>
      <c r="BC55" s="48"/>
      <c r="BD55" s="201" t="s">
        <v>453</v>
      </c>
      <c r="BE55" s="48"/>
      <c r="BF55" s="48"/>
      <c r="BG55" s="48"/>
      <c r="BH55" s="48"/>
      <c r="BI55" s="48"/>
      <c r="BJ55" s="48"/>
      <c r="BK55" s="48"/>
      <c r="BL55" s="48"/>
      <c r="BN55" s="48"/>
      <c r="BO55" s="48"/>
      <c r="BP55" s="48"/>
      <c r="BQ55" s="48"/>
      <c r="BR55" s="201" t="s">
        <v>450</v>
      </c>
      <c r="BS55" s="48"/>
      <c r="BT55" s="201" t="s">
        <v>453</v>
      </c>
      <c r="BU55" s="48"/>
      <c r="BV55" s="48"/>
      <c r="BW55" s="48"/>
      <c r="BX55" s="48"/>
      <c r="BY55" s="48"/>
      <c r="BZ55" s="48"/>
      <c r="CA55" s="48"/>
      <c r="CB55" s="48"/>
      <c r="CD55" s="48"/>
      <c r="CE55" s="48"/>
      <c r="CF55" s="48"/>
      <c r="CG55" s="48"/>
      <c r="CH55" s="48"/>
      <c r="CI55" s="201" t="s">
        <v>450</v>
      </c>
      <c r="CJ55" s="48"/>
      <c r="CK55" s="201" t="s">
        <v>453</v>
      </c>
      <c r="CL55" s="48"/>
      <c r="CM55" s="48"/>
      <c r="CN55" s="48"/>
      <c r="CO55" s="48"/>
      <c r="CP55" s="48"/>
      <c r="CQ55" s="48"/>
      <c r="CR55" s="48"/>
    </row>
    <row r="56" spans="1:96" ht="13.5" thickBot="1">
      <c r="A56" s="216"/>
      <c r="B56" s="159" t="s">
        <v>181</v>
      </c>
      <c r="C56" s="160"/>
      <c r="D56" s="160"/>
      <c r="E56" s="160"/>
      <c r="F56" s="160"/>
      <c r="G56" s="160"/>
      <c r="H56" s="160"/>
      <c r="I56" s="160"/>
      <c r="J56" s="160"/>
      <c r="K56" s="160"/>
      <c r="L56" s="160"/>
      <c r="M56" s="160"/>
      <c r="N56" s="160"/>
      <c r="O56" s="160"/>
      <c r="P56" s="160"/>
      <c r="Q56" s="161"/>
      <c r="R56" s="161"/>
      <c r="T56" s="197"/>
      <c r="U56" s="196" t="s">
        <v>3</v>
      </c>
      <c r="V56" s="197"/>
      <c r="W56" s="197"/>
      <c r="X56" s="196" t="s">
        <v>2</v>
      </c>
      <c r="Y56" s="197"/>
      <c r="Z56" s="197"/>
      <c r="AA56" s="196"/>
      <c r="AB56" s="196" t="s">
        <v>3</v>
      </c>
      <c r="AC56" s="197"/>
      <c r="AD56" s="197"/>
      <c r="AE56" s="196" t="s">
        <v>2</v>
      </c>
      <c r="AF56" s="197"/>
      <c r="AG56" s="197"/>
      <c r="AH56" s="47"/>
      <c r="AI56" s="67"/>
      <c r="AJ56" s="255"/>
      <c r="AK56" s="255"/>
      <c r="AL56" s="255"/>
      <c r="AN56" s="575"/>
      <c r="AO56" s="575"/>
      <c r="AP56" s="544"/>
      <c r="AQ56" s="562">
        <v>2014</v>
      </c>
      <c r="AR56" s="562">
        <v>2014</v>
      </c>
      <c r="AS56" s="562">
        <v>2010</v>
      </c>
      <c r="AT56" s="562">
        <v>2010</v>
      </c>
      <c r="AU56" s="544"/>
      <c r="AV56" s="575"/>
      <c r="AW56" s="1148"/>
      <c r="AX56" s="575"/>
      <c r="AY56" s="575"/>
      <c r="AZ56" s="669"/>
      <c r="BA56" s="196"/>
      <c r="BB56" s="1122" t="s">
        <v>245</v>
      </c>
      <c r="BC56" s="197" t="s">
        <v>245</v>
      </c>
      <c r="BD56" s="201" t="s">
        <v>475</v>
      </c>
      <c r="BE56" s="48"/>
      <c r="BF56" s="48"/>
      <c r="BG56" s="48"/>
      <c r="BH56" s="48"/>
      <c r="BI56" s="48"/>
      <c r="BJ56" s="48"/>
      <c r="BK56" s="48"/>
      <c r="BL56" s="48"/>
      <c r="BN56" s="48"/>
      <c r="BO56" s="48"/>
      <c r="BP56" s="48"/>
      <c r="BQ56" s="1131" t="s">
        <v>452</v>
      </c>
      <c r="BR56" s="1122" t="s">
        <v>20</v>
      </c>
      <c r="BS56" s="197" t="s">
        <v>20</v>
      </c>
      <c r="BT56" s="201" t="s">
        <v>475</v>
      </c>
      <c r="BU56" s="48"/>
      <c r="BV56" s="48"/>
      <c r="BW56" s="48"/>
      <c r="BX56" s="48"/>
      <c r="BY56" s="48"/>
      <c r="BZ56" s="48"/>
      <c r="CA56" s="48"/>
      <c r="CB56" s="48"/>
      <c r="CD56" s="48"/>
      <c r="CE56" s="48"/>
      <c r="CF56" s="48"/>
      <c r="CG56" s="201" t="s">
        <v>20</v>
      </c>
      <c r="CH56" s="280" t="s">
        <v>245</v>
      </c>
      <c r="CI56" s="1127" t="s">
        <v>253</v>
      </c>
      <c r="CJ56" s="48"/>
      <c r="CK56" s="201" t="s">
        <v>454</v>
      </c>
      <c r="CL56" s="48"/>
      <c r="CM56" s="48"/>
      <c r="CN56" s="48"/>
      <c r="CO56" s="48"/>
      <c r="CP56" s="48"/>
      <c r="CQ56" s="48"/>
      <c r="CR56" s="48"/>
    </row>
    <row r="57" spans="1:96">
      <c r="A57" s="216"/>
      <c r="B57" s="204" t="s">
        <v>132</v>
      </c>
      <c r="C57" s="181"/>
      <c r="D57" s="902">
        <v>5.385479123784064</v>
      </c>
      <c r="E57" s="969"/>
      <c r="F57" s="969"/>
      <c r="G57" s="969"/>
      <c r="H57" s="969"/>
      <c r="I57" s="969"/>
      <c r="J57" s="969"/>
      <c r="K57" s="969"/>
      <c r="L57" s="969"/>
      <c r="M57" s="969"/>
      <c r="N57" s="969"/>
      <c r="O57" s="969"/>
      <c r="P57" s="969"/>
      <c r="Q57" s="970"/>
      <c r="R57" s="160"/>
      <c r="T57" s="197"/>
      <c r="U57" s="197" t="s">
        <v>75</v>
      </c>
      <c r="V57" s="198" t="s">
        <v>21</v>
      </c>
      <c r="W57" s="197" t="s">
        <v>5</v>
      </c>
      <c r="X57" s="196" t="s">
        <v>25</v>
      </c>
      <c r="Y57" s="199" t="s">
        <v>21</v>
      </c>
      <c r="Z57" s="196" t="s">
        <v>5</v>
      </c>
      <c r="AA57" s="570"/>
      <c r="AB57" s="562" t="s">
        <v>75</v>
      </c>
      <c r="AC57" s="562" t="s">
        <v>21</v>
      </c>
      <c r="AD57" s="562" t="s">
        <v>5</v>
      </c>
      <c r="AE57" s="570" t="s">
        <v>25</v>
      </c>
      <c r="AF57" s="570" t="s">
        <v>21</v>
      </c>
      <c r="AG57" s="196" t="s">
        <v>5</v>
      </c>
      <c r="AH57" s="47"/>
      <c r="AI57" s="67"/>
      <c r="AJ57" s="255"/>
      <c r="AK57" s="255"/>
      <c r="AL57" s="255"/>
      <c r="AN57" s="575"/>
      <c r="AO57" s="575"/>
      <c r="AP57" s="562"/>
      <c r="AQ57" s="197" t="s">
        <v>283</v>
      </c>
      <c r="AR57" s="197" t="s">
        <v>20</v>
      </c>
      <c r="AS57" s="197" t="s">
        <v>283</v>
      </c>
      <c r="AT57" s="197" t="s">
        <v>20</v>
      </c>
      <c r="AU57" s="544"/>
      <c r="AV57" s="657"/>
      <c r="AW57" s="1148"/>
      <c r="AX57" s="575"/>
      <c r="AY57" s="575"/>
      <c r="AZ57" s="544" t="s">
        <v>248</v>
      </c>
      <c r="BA57" s="285">
        <f>$AP$22</f>
        <v>41609</v>
      </c>
      <c r="BB57" s="283">
        <f>BC57</f>
        <v>4.4600000000000001E-2</v>
      </c>
      <c r="BC57" s="283">
        <f>$AQ$22</f>
        <v>4.4600000000000001E-2</v>
      </c>
      <c r="BD57" s="197"/>
      <c r="BE57" s="48"/>
      <c r="BF57" s="48"/>
      <c r="BG57" s="48"/>
      <c r="BH57" s="48"/>
      <c r="BI57" s="48"/>
      <c r="BJ57" s="48"/>
      <c r="BK57" s="48"/>
      <c r="BL57" s="48"/>
      <c r="BN57" s="48"/>
      <c r="BO57" s="48"/>
      <c r="BP57" s="280" t="s">
        <v>235</v>
      </c>
      <c r="BQ57" s="1128">
        <f>$AV$9</f>
        <v>41563</v>
      </c>
      <c r="BR57" s="286">
        <f>BS57</f>
        <v>4.4699999999999997E-2</v>
      </c>
      <c r="BS57" s="283">
        <f>$AU$9</f>
        <v>4.4699999999999997E-2</v>
      </c>
      <c r="BT57" s="283"/>
      <c r="BU57" s="48"/>
      <c r="BV57" s="48"/>
      <c r="BW57" s="48"/>
      <c r="BX57" s="48"/>
      <c r="BY57" s="48"/>
      <c r="BZ57" s="48"/>
      <c r="CA57" s="48"/>
      <c r="CB57" s="48"/>
      <c r="CD57" s="48"/>
      <c r="CE57" s="48"/>
      <c r="CF57" s="280" t="s">
        <v>243</v>
      </c>
      <c r="CG57" s="286">
        <f t="shared" ref="CG57:CG72" si="24">VLOOKUP(CF57,$BP$57:$BR$72,3,FALSE)</f>
        <v>8.8999999999999996E-2</v>
      </c>
      <c r="CH57" s="286">
        <f t="shared" ref="CH57:CH72" si="25">VLOOKUP(CF57,$AZ$57:$BB$74,3,FALSE)</f>
        <v>0.1</v>
      </c>
      <c r="CI57" s="283">
        <f t="shared" ref="CI57:CI72" si="26">CG57-CH57</f>
        <v>-1.100000000000001E-2</v>
      </c>
      <c r="CJ57" s="48"/>
      <c r="CK57" s="48"/>
      <c r="CL57" s="48"/>
      <c r="CM57" s="48"/>
      <c r="CN57" s="48"/>
      <c r="CO57" s="48"/>
      <c r="CP57" s="48"/>
      <c r="CQ57" s="48"/>
      <c r="CR57" s="48"/>
    </row>
    <row r="58" spans="1:96">
      <c r="A58" s="216"/>
      <c r="B58" s="205" t="s">
        <v>0</v>
      </c>
      <c r="C58" s="183"/>
      <c r="D58" s="971" t="s">
        <v>151</v>
      </c>
      <c r="E58" s="115" t="s">
        <v>152</v>
      </c>
      <c r="F58" s="116" t="s">
        <v>153</v>
      </c>
      <c r="G58" s="117" t="s">
        <v>154</v>
      </c>
      <c r="H58" s="116" t="s">
        <v>155</v>
      </c>
      <c r="I58" s="116" t="s">
        <v>156</v>
      </c>
      <c r="J58" s="117" t="s">
        <v>157</v>
      </c>
      <c r="K58" s="116" t="s">
        <v>158</v>
      </c>
      <c r="L58" s="118" t="s">
        <v>159</v>
      </c>
      <c r="M58" s="116" t="s">
        <v>160</v>
      </c>
      <c r="N58" s="116" t="s">
        <v>161</v>
      </c>
      <c r="O58" s="116" t="s">
        <v>162</v>
      </c>
      <c r="P58" s="116" t="s">
        <v>163</v>
      </c>
      <c r="Q58" s="145" t="s">
        <v>164</v>
      </c>
      <c r="R58" s="160"/>
      <c r="T58" s="538" t="s">
        <v>173</v>
      </c>
      <c r="U58" s="123">
        <v>2142</v>
      </c>
      <c r="V58" s="123">
        <v>7685</v>
      </c>
      <c r="W58" s="200">
        <f>U58/V58</f>
        <v>0.27872478854912164</v>
      </c>
      <c r="X58" s="123">
        <v>308.5</v>
      </c>
      <c r="Y58" s="134">
        <v>2636</v>
      </c>
      <c r="Z58" s="200">
        <f>X58/Y58</f>
        <v>0.11703338391502276</v>
      </c>
      <c r="AA58" s="538" t="s">
        <v>173</v>
      </c>
      <c r="AB58" s="562">
        <v>2142</v>
      </c>
      <c r="AC58" s="562">
        <v>7685</v>
      </c>
      <c r="AD58" s="1292">
        <f>AB58/AC58</f>
        <v>0.27872478854912164</v>
      </c>
      <c r="AE58" s="570">
        <v>308.5</v>
      </c>
      <c r="AF58" s="570">
        <v>2636</v>
      </c>
      <c r="AG58" s="1292">
        <f>AE58/AF58</f>
        <v>0.11703338391502276</v>
      </c>
      <c r="AH58" s="47"/>
      <c r="AI58" s="67"/>
      <c r="AJ58" s="255"/>
      <c r="AK58" s="255"/>
      <c r="AL58" s="255"/>
      <c r="AN58" s="575"/>
      <c r="AO58" s="575"/>
      <c r="AP58" s="562" t="s">
        <v>170</v>
      </c>
      <c r="AQ58" s="283">
        <f>BB57</f>
        <v>4.4600000000000001E-2</v>
      </c>
      <c r="AR58" s="283">
        <f>BR57</f>
        <v>4.4699999999999997E-2</v>
      </c>
      <c r="AS58" s="398">
        <f>'(Cullen 2010 Fixed)'!B4</f>
        <v>7.6999999999999999E-2</v>
      </c>
      <c r="AT58" s="283">
        <f>'(Cullen 2010 Mobile)'!B4</f>
        <v>9.69E-2</v>
      </c>
      <c r="AU58" s="562" t="s">
        <v>170</v>
      </c>
      <c r="AV58" s="575"/>
      <c r="AW58" s="1148"/>
      <c r="AX58" s="575"/>
      <c r="AY58" s="575"/>
      <c r="AZ58" s="670" t="s">
        <v>235</v>
      </c>
      <c r="BA58" s="285">
        <f>$AP$9</f>
        <v>41607</v>
      </c>
      <c r="BB58" s="283">
        <f>BC58</f>
        <v>4.7E-2</v>
      </c>
      <c r="BC58" s="286">
        <f>$AQ$9</f>
        <v>4.7E-2</v>
      </c>
      <c r="BD58" s="283"/>
      <c r="BE58" s="48"/>
      <c r="BF58" s="48"/>
      <c r="BG58" s="48"/>
      <c r="BH58" s="48"/>
      <c r="BI58" s="48"/>
      <c r="BJ58" s="48"/>
      <c r="BK58" s="48"/>
      <c r="BL58" s="48"/>
      <c r="BN58" s="48"/>
      <c r="BO58" s="48"/>
      <c r="BP58" s="280" t="s">
        <v>417</v>
      </c>
      <c r="BQ58" s="284">
        <f>$AP$17</f>
        <v>41348</v>
      </c>
      <c r="BR58" s="286">
        <f>BS58</f>
        <v>6.7000000000000004E-2</v>
      </c>
      <c r="BS58" s="283">
        <f>$AU$17</f>
        <v>6.7000000000000004E-2</v>
      </c>
      <c r="BT58" s="283"/>
      <c r="BU58" s="48"/>
      <c r="BV58" s="48"/>
      <c r="BW58" s="48"/>
      <c r="BX58" s="48"/>
      <c r="BY58" s="48"/>
      <c r="BZ58" s="48"/>
      <c r="CA58" s="48"/>
      <c r="CB58" s="48"/>
      <c r="CD58" s="48"/>
      <c r="CE58" s="48"/>
      <c r="CF58" s="280" t="s">
        <v>236</v>
      </c>
      <c r="CG58" s="286">
        <f t="shared" si="24"/>
        <v>0.10059999999999999</v>
      </c>
      <c r="CH58" s="286">
        <f t="shared" si="25"/>
        <v>0.1091</v>
      </c>
      <c r="CI58" s="283">
        <f t="shared" si="26"/>
        <v>-8.5000000000000075E-3</v>
      </c>
      <c r="CJ58" s="48"/>
      <c r="CK58" s="48"/>
      <c r="CL58" s="48"/>
      <c r="CM58" s="48"/>
      <c r="CN58" s="48"/>
      <c r="CO58" s="48"/>
      <c r="CP58" s="48"/>
      <c r="CQ58" s="48"/>
      <c r="CR58" s="48"/>
    </row>
    <row r="59" spans="1:96">
      <c r="A59" s="216"/>
      <c r="B59" s="240"/>
      <c r="C59" s="182"/>
      <c r="D59" s="972" t="s">
        <v>188</v>
      </c>
      <c r="E59" s="131">
        <v>1.181979226191376</v>
      </c>
      <c r="F59" s="132">
        <v>1.413911391796471</v>
      </c>
      <c r="G59" s="133">
        <v>1.645843557401566</v>
      </c>
      <c r="H59" s="132">
        <v>1.8484545977412687</v>
      </c>
      <c r="I59" s="132">
        <v>2.0510656380809715</v>
      </c>
      <c r="J59" s="133">
        <v>2.2536766784206739</v>
      </c>
      <c r="K59" s="132">
        <v>2.4419961051722674</v>
      </c>
      <c r="L59" s="497">
        <v>2.6303155319238605</v>
      </c>
      <c r="M59" s="132">
        <v>2.7390880160002933</v>
      </c>
      <c r="N59" s="132">
        <v>2.8478605000767261</v>
      </c>
      <c r="O59" s="132">
        <v>2.9566329841531589</v>
      </c>
      <c r="P59" s="132">
        <v>3.0654054682295917</v>
      </c>
      <c r="Q59" s="146">
        <v>3.1741779523060245</v>
      </c>
      <c r="R59" s="160"/>
      <c r="T59" s="538">
        <v>2008</v>
      </c>
      <c r="U59" s="201"/>
      <c r="V59" s="201"/>
      <c r="W59" s="201"/>
      <c r="X59" s="201"/>
      <c r="Y59" s="201"/>
      <c r="Z59" s="201"/>
      <c r="AA59" s="538">
        <v>2008</v>
      </c>
      <c r="AB59" s="562">
        <v>2271</v>
      </c>
      <c r="AC59" s="123">
        <v>9295.6875</v>
      </c>
      <c r="AD59" s="1292">
        <f>AB59/AC59</f>
        <v>0.24430683583113136</v>
      </c>
      <c r="AE59" s="570">
        <v>452.5</v>
      </c>
      <c r="AF59" s="134">
        <v>3169.93948</v>
      </c>
      <c r="AG59" s="430">
        <f>AE59/AF59</f>
        <v>0.14274720475105096</v>
      </c>
      <c r="AH59" s="121"/>
      <c r="AI59" s="67"/>
      <c r="AJ59" s="255"/>
      <c r="AK59" s="255"/>
      <c r="AL59" s="255"/>
      <c r="AN59" s="575"/>
      <c r="AO59" s="575"/>
      <c r="AP59" s="562">
        <v>2014</v>
      </c>
      <c r="AQ59" s="283">
        <f>BB64-BB57</f>
        <v>3.6749159833066036E-2</v>
      </c>
      <c r="AR59" s="283">
        <f>BR62-BR57</f>
        <v>3.6614444978701095E-2</v>
      </c>
      <c r="AS59" s="398">
        <f>V38-AS58</f>
        <v>1.9121785799172827E-2</v>
      </c>
      <c r="AT59" s="283">
        <f>Y38-AT58</f>
        <v>3.5917173404925035E-3</v>
      </c>
      <c r="AU59" s="562">
        <v>2010</v>
      </c>
      <c r="AV59" s="575"/>
      <c r="AW59" s="1148"/>
      <c r="AX59" s="575"/>
      <c r="AY59" s="575"/>
      <c r="AZ59" s="670" t="s">
        <v>417</v>
      </c>
      <c r="BA59" s="284">
        <f>$AP$17</f>
        <v>41348</v>
      </c>
      <c r="BB59" s="283">
        <f>BC59</f>
        <v>6.2E-2</v>
      </c>
      <c r="BC59" s="283">
        <f>$AQ$17</f>
        <v>6.2E-2</v>
      </c>
      <c r="BD59" s="283"/>
      <c r="BE59" s="48"/>
      <c r="BF59" s="48"/>
      <c r="BG59" s="48"/>
      <c r="BH59" s="48"/>
      <c r="BI59" s="48"/>
      <c r="BJ59" s="48"/>
      <c r="BK59" s="48"/>
      <c r="BL59" s="48"/>
      <c r="BN59" s="48"/>
      <c r="BO59" s="48"/>
      <c r="BP59" s="280" t="s">
        <v>234</v>
      </c>
      <c r="BQ59" s="1128">
        <f>$AV$5</f>
        <v>41275</v>
      </c>
      <c r="BR59" s="286">
        <f>BS59</f>
        <v>7.0699999999999999E-2</v>
      </c>
      <c r="BS59" s="283">
        <f>$AU$5</f>
        <v>7.0699999999999999E-2</v>
      </c>
      <c r="BT59" s="283"/>
      <c r="BU59" s="48"/>
      <c r="BV59" s="48"/>
      <c r="BW59" s="48"/>
      <c r="BX59" s="48"/>
      <c r="BY59" s="48"/>
      <c r="BZ59" s="48"/>
      <c r="CA59" s="48"/>
      <c r="CB59" s="48"/>
      <c r="CD59" s="48"/>
      <c r="CE59" s="48"/>
      <c r="CF59" s="280" t="s">
        <v>242</v>
      </c>
      <c r="CG59" s="286">
        <f t="shared" si="24"/>
        <v>0.111</v>
      </c>
      <c r="CH59" s="286">
        <f t="shared" si="25"/>
        <v>0.1169</v>
      </c>
      <c r="CI59" s="283">
        <f t="shared" si="26"/>
        <v>-5.9000000000000025E-3</v>
      </c>
      <c r="CJ59" s="48"/>
      <c r="CK59" s="48"/>
      <c r="CL59" s="48"/>
      <c r="CM59" s="48"/>
      <c r="CN59" s="48"/>
      <c r="CO59" s="48"/>
      <c r="CP59" s="48"/>
      <c r="CQ59" s="48"/>
      <c r="CR59" s="48"/>
    </row>
    <row r="60" spans="1:96">
      <c r="A60" s="216"/>
      <c r="B60" s="240"/>
      <c r="C60" s="182"/>
      <c r="D60" s="971" t="s">
        <v>135</v>
      </c>
      <c r="E60" s="131">
        <v>0.70602738853503222</v>
      </c>
      <c r="F60" s="132">
        <v>0.93795955414012733</v>
      </c>
      <c r="G60" s="133">
        <v>1.1698917197452223</v>
      </c>
      <c r="H60" s="132">
        <v>1.3725027600849249</v>
      </c>
      <c r="I60" s="132">
        <v>1.5751138004246277</v>
      </c>
      <c r="J60" s="133">
        <v>1.7777248407643302</v>
      </c>
      <c r="K60" s="132">
        <v>1.9660442675159235</v>
      </c>
      <c r="L60" s="242">
        <v>2.1543636942675168</v>
      </c>
      <c r="M60" s="132">
        <v>2.2631361783439496</v>
      </c>
      <c r="N60" s="132">
        <v>2.3719086624203825</v>
      </c>
      <c r="O60" s="132">
        <v>2.4806811464968153</v>
      </c>
      <c r="P60" s="132">
        <v>2.5894536305732481</v>
      </c>
      <c r="Q60" s="146">
        <v>2.6982261146496809</v>
      </c>
      <c r="R60" s="160"/>
      <c r="T60" s="538">
        <v>2007</v>
      </c>
      <c r="U60" s="123">
        <v>2520</v>
      </c>
      <c r="V60" s="123">
        <v>11204.1</v>
      </c>
      <c r="W60" s="1292">
        <f>U60/V60</f>
        <v>0.22491766406940317</v>
      </c>
      <c r="X60" s="123">
        <v>768</v>
      </c>
      <c r="Y60" s="134">
        <v>3939.9110000000001</v>
      </c>
      <c r="Z60" s="1292">
        <f>X60/Y60</f>
        <v>0.19492826106985664</v>
      </c>
      <c r="AA60" s="782">
        <v>2007</v>
      </c>
      <c r="AB60" s="562">
        <v>2520</v>
      </c>
      <c r="AC60" s="123">
        <v>11204.1</v>
      </c>
      <c r="AD60" s="1292">
        <f>AB60/AC60</f>
        <v>0.22491766406940317</v>
      </c>
      <c r="AE60" s="570">
        <v>768</v>
      </c>
      <c r="AF60" s="134">
        <v>3939.9110000000001</v>
      </c>
      <c r="AG60" s="430">
        <f>AE60/AF60</f>
        <v>0.19492826106985664</v>
      </c>
      <c r="AH60" s="121"/>
      <c r="AI60" s="67"/>
      <c r="AJ60" s="255"/>
      <c r="AK60" s="255"/>
      <c r="AL60" s="255"/>
      <c r="AN60" s="575"/>
      <c r="AO60" s="575"/>
      <c r="AP60" s="562" t="s">
        <v>268</v>
      </c>
      <c r="AQ60" s="283">
        <f>AZ1-BB64</f>
        <v>5.8522017793822684E-3</v>
      </c>
      <c r="AR60" s="283">
        <f>BP1-BR62</f>
        <v>1.2498336177331731E-2</v>
      </c>
      <c r="AS60" s="398">
        <f>'(Cullen 2010 Fixed)'!M21-'FINAL BIPT &amp; Cullen 2014'!V38</f>
        <v>5.2938392008271828E-3</v>
      </c>
      <c r="AT60" s="283">
        <f>'(Cullen 2010 Mobile)'!K18-'FINAL BIPT &amp; Cullen 2014'!Y38</f>
        <v>1.9665227103951924E-2</v>
      </c>
      <c r="AU60" s="562" t="s">
        <v>268</v>
      </c>
      <c r="AV60" s="575"/>
      <c r="AW60" s="1148"/>
      <c r="AX60" s="575"/>
      <c r="AY60" s="575"/>
      <c r="AZ60" s="670" t="s">
        <v>418</v>
      </c>
      <c r="BA60" s="284">
        <f>$AP$18</f>
        <v>41099</v>
      </c>
      <c r="BB60" s="283">
        <f>BC60</f>
        <v>6.9917999999999925E-2</v>
      </c>
      <c r="BC60" s="283">
        <f>$AQ$18</f>
        <v>6.9917999999999925E-2</v>
      </c>
      <c r="BD60" s="283"/>
      <c r="BE60" s="48"/>
      <c r="BF60" s="48"/>
      <c r="BG60" s="48"/>
      <c r="BH60" s="48"/>
      <c r="BI60" s="48"/>
      <c r="BJ60" s="48"/>
      <c r="BK60" s="48"/>
      <c r="BL60" s="48"/>
      <c r="BN60" s="48"/>
      <c r="BO60" s="48"/>
      <c r="BP60" s="280" t="s">
        <v>237</v>
      </c>
      <c r="BQ60" s="285">
        <f>$AP$11</f>
        <v>41761</v>
      </c>
      <c r="BR60" s="289">
        <f>BS60+BT60/2</f>
        <v>7.6500000000000012E-2</v>
      </c>
      <c r="BS60" s="1114">
        <v>7.0000000000000007E-2</v>
      </c>
      <c r="BT60" s="1114">
        <v>1.2999999999999999E-2</v>
      </c>
      <c r="BU60" s="1115" t="s">
        <v>446</v>
      </c>
      <c r="BV60" s="48"/>
      <c r="BW60" s="48"/>
      <c r="BX60" s="48"/>
      <c r="BY60" s="48"/>
      <c r="BZ60" s="48"/>
      <c r="CA60" s="48"/>
      <c r="CB60" s="48"/>
      <c r="CD60" s="48"/>
      <c r="CE60" s="48"/>
      <c r="CF60" s="280" t="s">
        <v>235</v>
      </c>
      <c r="CG60" s="286">
        <f t="shared" si="24"/>
        <v>4.4699999999999997E-2</v>
      </c>
      <c r="CH60" s="286">
        <f t="shared" si="25"/>
        <v>4.7E-2</v>
      </c>
      <c r="CI60" s="283">
        <f t="shared" si="26"/>
        <v>-2.3000000000000034E-3</v>
      </c>
      <c r="CJ60" s="48"/>
      <c r="CK60" s="48"/>
      <c r="CL60" s="48"/>
      <c r="CM60" s="48"/>
      <c r="CN60" s="48"/>
      <c r="CO60" s="48"/>
      <c r="CP60" s="48"/>
      <c r="CQ60" s="48"/>
      <c r="CR60" s="48"/>
    </row>
    <row r="61" spans="1:96">
      <c r="A61" s="216"/>
      <c r="B61" s="206"/>
      <c r="C61" s="182"/>
      <c r="D61" s="972" t="s">
        <v>136</v>
      </c>
      <c r="E61" s="131">
        <v>1.1401761891359397</v>
      </c>
      <c r="F61" s="132">
        <v>1.5147275691700326</v>
      </c>
      <c r="G61" s="133">
        <v>1.8892789492041253</v>
      </c>
      <c r="H61" s="132">
        <v>2.2164791224590581</v>
      </c>
      <c r="I61" s="132">
        <v>2.5436792957139911</v>
      </c>
      <c r="J61" s="133">
        <v>2.8708794689689237</v>
      </c>
      <c r="K61" s="132">
        <v>3.174999861209546</v>
      </c>
      <c r="L61" s="242">
        <v>3.4791202534501688</v>
      </c>
      <c r="M61" s="132">
        <v>3.6547788729188144</v>
      </c>
      <c r="N61" s="132">
        <v>3.83043749238746</v>
      </c>
      <c r="O61" s="132">
        <v>4.006096111856106</v>
      </c>
      <c r="P61" s="132">
        <v>4.1817547313247516</v>
      </c>
      <c r="Q61" s="146">
        <v>4.3574133507933972</v>
      </c>
      <c r="R61" s="160"/>
      <c r="T61" s="538">
        <v>2006</v>
      </c>
      <c r="U61" s="123">
        <v>2391</v>
      </c>
      <c r="V61" s="123">
        <v>11144.3</v>
      </c>
      <c r="W61" s="1292">
        <f>U61/V61</f>
        <v>0.21454914171370118</v>
      </c>
      <c r="X61" s="123">
        <v>763.7</v>
      </c>
      <c r="Y61" s="134">
        <v>4091.6930000000002</v>
      </c>
      <c r="Z61" s="1292">
        <f>X61/Y61</f>
        <v>0.18664645661343604</v>
      </c>
      <c r="AA61" s="782">
        <v>2006</v>
      </c>
      <c r="AB61" s="562">
        <v>2391</v>
      </c>
      <c r="AC61" s="123">
        <v>11144.3</v>
      </c>
      <c r="AD61" s="1292">
        <f>AB61/AC61</f>
        <v>0.21454914171370118</v>
      </c>
      <c r="AE61" s="570">
        <v>763.7</v>
      </c>
      <c r="AF61" s="134">
        <v>4091.6930000000002</v>
      </c>
      <c r="AG61" s="430">
        <f>AE61/AF61</f>
        <v>0.18664645661343604</v>
      </c>
      <c r="AH61" s="121"/>
      <c r="AI61" s="67"/>
      <c r="AJ61" s="255"/>
      <c r="AK61" s="255"/>
      <c r="AL61" s="255"/>
      <c r="AN61" s="575"/>
      <c r="AO61" s="575"/>
      <c r="AP61" s="562" t="s">
        <v>282</v>
      </c>
      <c r="AQ61" s="283">
        <f>BB1-AZ1</f>
        <v>7.0986383875516895E-3</v>
      </c>
      <c r="AR61" s="283">
        <f>BR1-BP1</f>
        <v>6.6789361844596801E-3</v>
      </c>
      <c r="AS61" s="398">
        <f>'(Cullen 2010 Fixed)'!M22-'(Cullen 2010 Fixed)'!M21</f>
        <v>9.0937499999999005E-4</v>
      </c>
      <c r="AT61" s="283">
        <f>'(Cullen 2010 Mobile)'!K19-'(Cullen 2010 Mobile)'!K18</f>
        <v>-5.6944444444428921E-5</v>
      </c>
      <c r="AU61" s="562" t="s">
        <v>282</v>
      </c>
      <c r="AV61" s="575"/>
      <c r="AW61" s="1148"/>
      <c r="AX61" s="575"/>
      <c r="AY61" s="575"/>
      <c r="AZ61" s="1115" t="s">
        <v>237</v>
      </c>
      <c r="BA61" s="285">
        <f>$AP$11</f>
        <v>41761</v>
      </c>
      <c r="BB61" s="288">
        <f>BC61+BD61/2</f>
        <v>7.0500000000000007E-2</v>
      </c>
      <c r="BC61" s="1114">
        <v>6.2E-2</v>
      </c>
      <c r="BD61" s="1114">
        <v>1.7000000000000001E-2</v>
      </c>
      <c r="BE61" s="1115" t="s">
        <v>446</v>
      </c>
      <c r="BF61" s="48"/>
      <c r="BG61" s="48"/>
      <c r="BH61" s="48"/>
      <c r="BI61" s="48"/>
      <c r="BJ61" s="48"/>
      <c r="BK61" s="48"/>
      <c r="BL61" s="48"/>
      <c r="BN61" s="48"/>
      <c r="BO61" s="48"/>
      <c r="BP61" s="280" t="s">
        <v>244</v>
      </c>
      <c r="BQ61" s="1129">
        <f>$AV$21</f>
        <v>41740</v>
      </c>
      <c r="BR61" s="286">
        <f>BS61</f>
        <v>7.8E-2</v>
      </c>
      <c r="BS61" s="286">
        <f>$AU$21</f>
        <v>7.8E-2</v>
      </c>
      <c r="BT61" s="283"/>
      <c r="BU61" s="48"/>
      <c r="BV61" s="48"/>
      <c r="BW61" s="48"/>
      <c r="BX61" s="48"/>
      <c r="BY61" s="48"/>
      <c r="BZ61" s="48"/>
      <c r="CA61" s="48"/>
      <c r="CB61" s="48"/>
      <c r="CD61" s="48"/>
      <c r="CE61" s="48"/>
      <c r="CF61" s="111" t="s">
        <v>419</v>
      </c>
      <c r="CG61" s="291">
        <f t="shared" si="24"/>
        <v>8.1314444978701092E-2</v>
      </c>
      <c r="CH61" s="281">
        <f t="shared" si="25"/>
        <v>8.1349159833066037E-2</v>
      </c>
      <c r="CI61" s="281">
        <f t="shared" si="26"/>
        <v>-3.4714854364945036E-5</v>
      </c>
      <c r="CJ61" s="52"/>
      <c r="CK61" s="52"/>
      <c r="CL61" s="52"/>
      <c r="CM61" s="52"/>
      <c r="CN61" s="48"/>
      <c r="CO61" s="48"/>
      <c r="CP61" s="48"/>
      <c r="CQ61" s="48"/>
      <c r="CR61" s="48"/>
    </row>
    <row r="62" spans="1:96">
      <c r="A62" s="216"/>
      <c r="B62" s="205" t="s">
        <v>134</v>
      </c>
      <c r="C62" s="183"/>
      <c r="D62" s="971" t="s">
        <v>151</v>
      </c>
      <c r="E62" s="115" t="s">
        <v>152</v>
      </c>
      <c r="F62" s="116" t="s">
        <v>153</v>
      </c>
      <c r="G62" s="117" t="s">
        <v>154</v>
      </c>
      <c r="H62" s="116" t="s">
        <v>155</v>
      </c>
      <c r="I62" s="116" t="s">
        <v>156</v>
      </c>
      <c r="J62" s="117" t="s">
        <v>157</v>
      </c>
      <c r="K62" s="116" t="s">
        <v>158</v>
      </c>
      <c r="L62" s="118" t="s">
        <v>159</v>
      </c>
      <c r="M62" s="116" t="s">
        <v>160</v>
      </c>
      <c r="N62" s="116" t="s">
        <v>161</v>
      </c>
      <c r="O62" s="116" t="s">
        <v>162</v>
      </c>
      <c r="P62" s="116" t="s">
        <v>163</v>
      </c>
      <c r="Q62" s="145" t="s">
        <v>164</v>
      </c>
      <c r="R62" s="160"/>
      <c r="T62" s="252">
        <v>2005</v>
      </c>
      <c r="U62" s="134">
        <v>2221</v>
      </c>
      <c r="V62" s="134">
        <v>9378</v>
      </c>
      <c r="W62" s="1292">
        <f>U62/V62</f>
        <v>0.23683088078481554</v>
      </c>
      <c r="X62" s="134">
        <v>716.2</v>
      </c>
      <c r="Y62" s="134">
        <v>4238</v>
      </c>
      <c r="Z62" s="1292">
        <f>X62/Y62</f>
        <v>0.16899480887210949</v>
      </c>
      <c r="AA62" s="782">
        <v>2005</v>
      </c>
      <c r="AB62" s="544"/>
      <c r="AC62" s="544"/>
      <c r="AD62" s="1293"/>
      <c r="AE62" s="544"/>
      <c r="AF62" s="544"/>
      <c r="AG62" s="1293"/>
      <c r="AH62" s="121"/>
      <c r="AI62" s="67"/>
      <c r="AJ62" s="255"/>
      <c r="AK62" s="255"/>
      <c r="AL62" s="255"/>
      <c r="AN62" s="575"/>
      <c r="AO62" s="575"/>
      <c r="AP62" s="562">
        <v>2010</v>
      </c>
      <c r="AQ62" s="283">
        <f>BB68-BB1</f>
        <v>1.8217857991728315E-3</v>
      </c>
      <c r="AR62" s="283">
        <f>BR65-BR1</f>
        <v>0</v>
      </c>
      <c r="AS62" s="398">
        <f>'(Cullen 2010 Fixed)'!B18-'(Cullen 2010 Fixed)'!M22</f>
        <v>9.675000000000003E-3</v>
      </c>
      <c r="AT62" s="283">
        <f>'(Cullen 2010 Mobile)'!B11-'(Cullen 2010 Mobile)'!K19</f>
        <v>2.2999999999999965E-3</v>
      </c>
      <c r="AU62" s="562" t="s">
        <v>623</v>
      </c>
      <c r="AV62" s="575"/>
      <c r="AW62" s="1148"/>
      <c r="AX62" s="575"/>
      <c r="AY62" s="575"/>
      <c r="AZ62" s="670" t="s">
        <v>234</v>
      </c>
      <c r="BA62" s="284">
        <f>$AP$5</f>
        <v>41334</v>
      </c>
      <c r="BB62" s="283">
        <f t="shared" ref="BB62:BB74" si="27">BC62</f>
        <v>7.0699999999999999E-2</v>
      </c>
      <c r="BC62" s="283">
        <f>$AQ$5</f>
        <v>7.0699999999999999E-2</v>
      </c>
      <c r="BD62" s="283"/>
      <c r="BE62" s="48"/>
      <c r="BF62" s="48"/>
      <c r="BG62" s="48"/>
      <c r="BH62" s="48"/>
      <c r="BI62" s="48"/>
      <c r="BJ62" s="48"/>
      <c r="BK62" s="48"/>
      <c r="BL62" s="48"/>
      <c r="BN62" s="48"/>
      <c r="BO62" s="48"/>
      <c r="BP62" s="111" t="s">
        <v>419</v>
      </c>
      <c r="BQ62" s="290">
        <f>$BA$64</f>
        <v>41852</v>
      </c>
      <c r="BR62" s="291">
        <f>BS62</f>
        <v>8.1314444978701092E-2</v>
      </c>
      <c r="BS62" s="281">
        <f>$P$38</f>
        <v>8.1314444978701092E-2</v>
      </c>
      <c r="BT62" s="48"/>
      <c r="BU62" s="48"/>
      <c r="BV62" s="48"/>
      <c r="BW62" s="48"/>
      <c r="BX62" s="48"/>
      <c r="BY62" s="48"/>
      <c r="BZ62" s="48"/>
      <c r="CA62" s="48"/>
      <c r="CB62" s="48"/>
      <c r="CD62" s="48"/>
      <c r="CE62" s="48"/>
      <c r="CF62" s="280" t="s">
        <v>234</v>
      </c>
      <c r="CG62" s="286">
        <f t="shared" si="24"/>
        <v>7.0699999999999999E-2</v>
      </c>
      <c r="CH62" s="286">
        <f t="shared" si="25"/>
        <v>7.0699999999999999E-2</v>
      </c>
      <c r="CI62" s="283">
        <f t="shared" si="26"/>
        <v>0</v>
      </c>
      <c r="CJ62" s="52"/>
      <c r="CK62" s="52"/>
      <c r="CL62" s="52"/>
      <c r="CM62" s="52"/>
      <c r="CN62" s="48"/>
      <c r="CO62" s="48"/>
      <c r="CP62" s="48"/>
      <c r="CQ62" s="48"/>
      <c r="CR62" s="48"/>
    </row>
    <row r="63" spans="1:96">
      <c r="A63" s="216"/>
      <c r="B63" s="240"/>
      <c r="C63" s="182"/>
      <c r="D63" s="972" t="s">
        <v>188</v>
      </c>
      <c r="E63" s="131">
        <v>0.24410859326202269</v>
      </c>
      <c r="F63" s="132">
        <v>0.30865992510707513</v>
      </c>
      <c r="G63" s="133">
        <v>0.40514970566355185</v>
      </c>
      <c r="H63" s="132">
        <v>0.46576143995138364</v>
      </c>
      <c r="I63" s="132">
        <v>0.54300242318893399</v>
      </c>
      <c r="J63" s="133">
        <v>0.6448042195186755</v>
      </c>
      <c r="K63" s="132">
        <v>0.64271104592942219</v>
      </c>
      <c r="L63" s="497">
        <v>0.64031868806607062</v>
      </c>
      <c r="M63" s="132">
        <v>0.63978855783819</v>
      </c>
      <c r="N63" s="132">
        <v>0.63921848005438198</v>
      </c>
      <c r="O63" s="132">
        <v>0.63860376260335916</v>
      </c>
      <c r="P63" s="132">
        <v>0.63793894860433586</v>
      </c>
      <c r="Q63" s="146">
        <v>0.63721765397564589</v>
      </c>
      <c r="R63" s="160"/>
      <c r="T63" s="253" t="s">
        <v>174</v>
      </c>
      <c r="U63" s="197"/>
      <c r="V63" s="203"/>
      <c r="W63" s="1292">
        <f>AVERAGE(W58,W60:W62)</f>
        <v>0.23875561877926038</v>
      </c>
      <c r="X63" s="196"/>
      <c r="Y63" s="196"/>
      <c r="Z63" s="1292">
        <f>AVERAGE(Z58,Z60:Z62)</f>
        <v>0.16690072761760621</v>
      </c>
      <c r="AA63" s="360" t="s">
        <v>174</v>
      </c>
      <c r="AB63" s="197"/>
      <c r="AC63" s="197"/>
      <c r="AD63" s="1292">
        <f>AVERAGE(AD58:AD61)</f>
        <v>0.24062460754083934</v>
      </c>
      <c r="AE63" s="196"/>
      <c r="AF63" s="196"/>
      <c r="AG63" s="430">
        <f>AVERAGE(AG58:AG61)</f>
        <v>0.16033882658734161</v>
      </c>
      <c r="AH63" s="121"/>
      <c r="AI63" s="67"/>
      <c r="AJ63" s="255"/>
      <c r="AK63" s="255"/>
      <c r="AL63" s="255"/>
      <c r="AN63" s="575"/>
      <c r="AO63" s="575"/>
      <c r="AP63" s="562" t="s">
        <v>169</v>
      </c>
      <c r="AQ63" s="283">
        <f>BB74-BB68</f>
        <v>2.6478214200827174E-2</v>
      </c>
      <c r="AR63" s="283">
        <f>BR72-BR65</f>
        <v>4.2408282659507496E-2</v>
      </c>
      <c r="AS63" s="398">
        <f>'(Cullen 2010 Fixed)'!B20-'(Cullen 2010 Fixed)'!B18</f>
        <v>2.0000000000000004E-2</v>
      </c>
      <c r="AT63" s="283">
        <f>'(Cullen 2010 Mobile)'!B16-'(Cullen 2010 Mobile)'!B11</f>
        <v>2.5700000000000014E-2</v>
      </c>
      <c r="AU63" s="562" t="s">
        <v>169</v>
      </c>
      <c r="AV63" s="575"/>
      <c r="AW63" s="1148"/>
      <c r="AX63" s="575"/>
      <c r="AY63" s="575"/>
      <c r="AZ63" s="670" t="s">
        <v>244</v>
      </c>
      <c r="BA63" s="285">
        <f>$AP$21</f>
        <v>41624</v>
      </c>
      <c r="BB63" s="283">
        <f t="shared" si="27"/>
        <v>7.4999999999999997E-2</v>
      </c>
      <c r="BC63" s="286">
        <f>$AQ$21</f>
        <v>7.4999999999999997E-2</v>
      </c>
      <c r="BD63" s="111"/>
      <c r="BE63" s="48"/>
      <c r="BF63" s="48"/>
      <c r="BG63" s="48"/>
      <c r="BH63" s="48"/>
      <c r="BI63" s="48"/>
      <c r="BJ63" s="48"/>
      <c r="BK63" s="48"/>
      <c r="BL63" s="48"/>
      <c r="BN63" s="48"/>
      <c r="BO63" s="48"/>
      <c r="BP63" s="280" t="s">
        <v>239</v>
      </c>
      <c r="BQ63" s="284">
        <f>$AP$14</f>
        <v>41740</v>
      </c>
      <c r="BR63" s="286">
        <f>BS63</f>
        <v>8.6599999999999996E-2</v>
      </c>
      <c r="BS63" s="286">
        <f>$AU$14</f>
        <v>8.6599999999999996E-2</v>
      </c>
      <c r="BT63" s="52"/>
      <c r="BU63" s="52"/>
      <c r="BV63" s="52"/>
      <c r="BW63" s="52"/>
      <c r="BX63" s="48"/>
      <c r="BY63" s="48"/>
      <c r="BZ63" s="48"/>
      <c r="CA63" s="48"/>
      <c r="CB63" s="48"/>
      <c r="CD63" s="48"/>
      <c r="CE63" s="48"/>
      <c r="CF63" s="280" t="s">
        <v>239</v>
      </c>
      <c r="CG63" s="286">
        <f t="shared" si="24"/>
        <v>8.6599999999999996E-2</v>
      </c>
      <c r="CH63" s="286">
        <f t="shared" si="25"/>
        <v>8.48E-2</v>
      </c>
      <c r="CI63" s="283">
        <f t="shared" si="26"/>
        <v>1.799999999999996E-3</v>
      </c>
      <c r="CJ63" s="52"/>
      <c r="CK63" s="52"/>
      <c r="CL63" s="52"/>
      <c r="CM63" s="52"/>
      <c r="CN63" s="48"/>
      <c r="CO63" s="48"/>
      <c r="CP63" s="48"/>
      <c r="CQ63" s="48"/>
      <c r="CR63" s="48"/>
    </row>
    <row r="64" spans="1:96">
      <c r="A64" s="216"/>
      <c r="B64" s="240"/>
      <c r="C64" s="182"/>
      <c r="D64" s="971" t="s">
        <v>135</v>
      </c>
      <c r="E64" s="131">
        <v>0.246048237219228</v>
      </c>
      <c r="F64" s="132">
        <v>0.31111248259620355</v>
      </c>
      <c r="G64" s="133">
        <v>0.40836895398190298</v>
      </c>
      <c r="H64" s="132">
        <v>0.46946229845221993</v>
      </c>
      <c r="I64" s="132">
        <v>0.54731702496026824</v>
      </c>
      <c r="J64" s="133">
        <v>0.64992772046248459</v>
      </c>
      <c r="K64" s="132">
        <v>0.64781791488396157</v>
      </c>
      <c r="L64" s="242">
        <v>0.64540654776570794</v>
      </c>
      <c r="M64" s="132">
        <v>0.64487220521625632</v>
      </c>
      <c r="N64" s="132">
        <v>0.64429759769462258</v>
      </c>
      <c r="O64" s="132">
        <v>0.64367799580682783</v>
      </c>
      <c r="P64" s="132">
        <v>0.64300789931267133</v>
      </c>
      <c r="Q64" s="146">
        <v>0.64228087340369655</v>
      </c>
      <c r="R64" s="160"/>
      <c r="T64" s="197"/>
      <c r="U64" s="197"/>
      <c r="V64" s="197"/>
      <c r="W64" s="523">
        <f>1/W63</f>
        <v>4.1883831053397831</v>
      </c>
      <c r="X64" s="197"/>
      <c r="Y64" s="197"/>
      <c r="Z64" s="523">
        <f>1/Z63</f>
        <v>5.9915856226291897</v>
      </c>
      <c r="AA64" s="196"/>
      <c r="AB64" s="198"/>
      <c r="AC64" s="199"/>
      <c r="AD64" s="199"/>
      <c r="AE64" s="197"/>
      <c r="AF64" s="197"/>
      <c r="AG64" s="197"/>
      <c r="AH64" s="121"/>
      <c r="AI64" s="67"/>
      <c r="AJ64" s="255"/>
      <c r="AK64" s="255"/>
      <c r="AL64" s="255"/>
      <c r="AN64" s="575"/>
      <c r="AO64" s="575"/>
      <c r="AP64" s="575"/>
      <c r="AQ64" s="575"/>
      <c r="AR64" s="575"/>
      <c r="AS64" s="575"/>
      <c r="AT64" s="575"/>
      <c r="AU64" s="575"/>
      <c r="AV64" s="575"/>
      <c r="AW64" s="1148"/>
      <c r="AX64" s="575"/>
      <c r="AY64" s="575"/>
      <c r="AZ64" s="543" t="s">
        <v>419</v>
      </c>
      <c r="BA64" s="1130">
        <v>41852</v>
      </c>
      <c r="BB64" s="281">
        <f t="shared" si="27"/>
        <v>8.1349159833066037E-2</v>
      </c>
      <c r="BC64" s="281">
        <f>J38</f>
        <v>8.1349159833066037E-2</v>
      </c>
      <c r="BD64" s="283"/>
      <c r="BE64" s="48"/>
      <c r="BF64" s="48"/>
      <c r="BG64" s="48"/>
      <c r="BH64" s="48"/>
      <c r="BI64" s="48"/>
      <c r="BJ64" s="48"/>
      <c r="BK64" s="48"/>
      <c r="BL64" s="48"/>
      <c r="BN64" s="48"/>
      <c r="BO64" s="48"/>
      <c r="BP64" s="280" t="s">
        <v>243</v>
      </c>
      <c r="BQ64" s="1128">
        <f>$AV$20</f>
        <v>40617</v>
      </c>
      <c r="BR64" s="286">
        <f>BS64</f>
        <v>8.8999999999999996E-2</v>
      </c>
      <c r="BS64" s="283">
        <f>$AU$20</f>
        <v>8.8999999999999996E-2</v>
      </c>
      <c r="BT64" s="52"/>
      <c r="BU64" s="52"/>
      <c r="BV64" s="52"/>
      <c r="BW64" s="52"/>
      <c r="BX64" s="52"/>
      <c r="BY64" s="52"/>
      <c r="BZ64" s="48"/>
      <c r="CA64" s="48"/>
      <c r="CB64" s="48"/>
      <c r="CD64" s="48"/>
      <c r="CE64" s="48"/>
      <c r="CF64" s="280" t="s">
        <v>244</v>
      </c>
      <c r="CG64" s="286">
        <f t="shared" si="24"/>
        <v>7.8E-2</v>
      </c>
      <c r="CH64" s="286">
        <f t="shared" si="25"/>
        <v>7.4999999999999997E-2</v>
      </c>
      <c r="CI64" s="283">
        <f t="shared" si="26"/>
        <v>3.0000000000000027E-3</v>
      </c>
      <c r="CJ64" s="48"/>
      <c r="CK64" s="48"/>
      <c r="CL64" s="48"/>
      <c r="CM64" s="48"/>
      <c r="CN64" s="48"/>
      <c r="CO64" s="48"/>
      <c r="CP64" s="48"/>
      <c r="CQ64" s="48"/>
      <c r="CR64" s="48"/>
    </row>
    <row r="65" spans="1:96">
      <c r="A65" s="216"/>
      <c r="B65" s="206"/>
      <c r="C65" s="182"/>
      <c r="D65" s="972" t="s">
        <v>136</v>
      </c>
      <c r="E65" s="140">
        <v>0.25524598219990707</v>
      </c>
      <c r="F65" s="139">
        <v>0.33692344529540552</v>
      </c>
      <c r="G65" s="141">
        <v>0.45901295553838306</v>
      </c>
      <c r="H65" s="139">
        <v>0.52174359742978005</v>
      </c>
      <c r="I65" s="139">
        <v>0.60168482524227784</v>
      </c>
      <c r="J65" s="141">
        <v>0.70704548031173697</v>
      </c>
      <c r="K65" s="139">
        <v>0.73490151829922967</v>
      </c>
      <c r="L65" s="155">
        <v>0.76673911259305505</v>
      </c>
      <c r="M65" s="139">
        <v>0.77747232979641689</v>
      </c>
      <c r="N65" s="139">
        <v>0.78901434033387807</v>
      </c>
      <c r="O65" s="139">
        <v>0.80146014246612851</v>
      </c>
      <c r="P65" s="139">
        <v>0.81492021826652195</v>
      </c>
      <c r="Q65" s="149">
        <v>0.82952382226831622</v>
      </c>
      <c r="R65" s="160"/>
      <c r="T65" s="121"/>
      <c r="U65" s="121"/>
      <c r="V65" s="121"/>
      <c r="W65" s="121"/>
      <c r="X65" s="121"/>
      <c r="Y65" s="121"/>
      <c r="Z65" s="121"/>
      <c r="AA65" s="67"/>
      <c r="AB65" s="69"/>
      <c r="AC65" s="119"/>
      <c r="AD65" s="120"/>
      <c r="AE65" s="121"/>
      <c r="AF65" s="121"/>
      <c r="AG65" s="121"/>
      <c r="AH65" s="121"/>
      <c r="AI65" s="67"/>
      <c r="AJ65" s="255"/>
      <c r="AK65" s="255"/>
      <c r="AL65" s="255"/>
      <c r="AN65" s="575"/>
      <c r="AO65" s="575"/>
      <c r="AP65" s="575"/>
      <c r="AQ65" s="575"/>
      <c r="AR65" s="575"/>
      <c r="AS65" s="575"/>
      <c r="AT65" s="575"/>
      <c r="AU65" s="575"/>
      <c r="AV65" s="575"/>
      <c r="AW65" s="1148"/>
      <c r="AX65" s="575"/>
      <c r="AY65" s="575"/>
      <c r="AZ65" s="201" t="s">
        <v>239</v>
      </c>
      <c r="BA65" s="285">
        <f>$AP$14</f>
        <v>41740</v>
      </c>
      <c r="BB65" s="283">
        <f t="shared" si="27"/>
        <v>8.48E-2</v>
      </c>
      <c r="BC65" s="286">
        <f>$AQ$14</f>
        <v>8.48E-2</v>
      </c>
      <c r="BD65" s="283"/>
      <c r="BE65" s="48"/>
      <c r="BF65" s="48"/>
      <c r="BG65" s="48"/>
      <c r="BH65" s="48"/>
      <c r="BI65" s="48"/>
      <c r="BJ65" s="48"/>
      <c r="BK65" s="48"/>
      <c r="BL65" s="48"/>
      <c r="BN65" s="48"/>
      <c r="BO65" s="48"/>
      <c r="BP65" s="280" t="s">
        <v>177</v>
      </c>
      <c r="BQ65" s="284">
        <f>$AP$7</f>
        <v>40302</v>
      </c>
      <c r="BR65" s="286">
        <f>BS65</f>
        <v>0.1004917173404925</v>
      </c>
      <c r="BS65" s="286">
        <f>$AU$7</f>
        <v>0.1004917173404925</v>
      </c>
      <c r="BT65" s="52"/>
      <c r="BU65" s="52"/>
      <c r="BV65" s="52"/>
      <c r="BW65" s="52"/>
      <c r="BX65" s="52"/>
      <c r="BY65" s="52"/>
      <c r="BZ65" s="48"/>
      <c r="CA65" s="48"/>
      <c r="CB65" s="48"/>
      <c r="CD65" s="48"/>
      <c r="CE65" s="48"/>
      <c r="CF65" s="280" t="s">
        <v>177</v>
      </c>
      <c r="CG65" s="286">
        <f t="shared" si="24"/>
        <v>0.1004917173404925</v>
      </c>
      <c r="CH65" s="286">
        <f t="shared" si="25"/>
        <v>9.6121785799172826E-2</v>
      </c>
      <c r="CI65" s="283">
        <f t="shared" si="26"/>
        <v>4.3699315413196771E-3</v>
      </c>
      <c r="CJ65" s="48"/>
      <c r="CK65" s="48"/>
      <c r="CL65" s="48"/>
      <c r="CM65" s="48"/>
      <c r="CN65" s="48"/>
      <c r="CO65" s="48"/>
      <c r="CP65" s="48"/>
      <c r="CQ65" s="48"/>
      <c r="CR65" s="48"/>
    </row>
    <row r="66" spans="1:96">
      <c r="A66" s="216"/>
      <c r="B66" s="205" t="s">
        <v>353</v>
      </c>
      <c r="C66" s="183"/>
      <c r="D66" s="971" t="s">
        <v>151</v>
      </c>
      <c r="E66" s="973" t="s">
        <v>152</v>
      </c>
      <c r="F66" s="974" t="s">
        <v>153</v>
      </c>
      <c r="G66" s="975" t="s">
        <v>154</v>
      </c>
      <c r="H66" s="974" t="s">
        <v>155</v>
      </c>
      <c r="I66" s="974" t="s">
        <v>156</v>
      </c>
      <c r="J66" s="975" t="s">
        <v>157</v>
      </c>
      <c r="K66" s="974" t="s">
        <v>158</v>
      </c>
      <c r="L66" s="976" t="s">
        <v>159</v>
      </c>
      <c r="M66" s="974" t="s">
        <v>160</v>
      </c>
      <c r="N66" s="974" t="s">
        <v>161</v>
      </c>
      <c r="O66" s="974" t="s">
        <v>162</v>
      </c>
      <c r="P66" s="974" t="s">
        <v>163</v>
      </c>
      <c r="Q66" s="977" t="s">
        <v>164</v>
      </c>
      <c r="R66" s="160"/>
      <c r="T66" s="1751"/>
      <c r="U66" s="1328"/>
      <c r="V66" s="1328"/>
      <c r="W66" s="1328"/>
      <c r="X66" s="1328"/>
      <c r="Y66" s="1328"/>
      <c r="Z66" s="1328"/>
      <c r="AA66" s="1329"/>
      <c r="AB66" s="1339"/>
      <c r="AC66" s="1328"/>
      <c r="AD66" s="1340"/>
      <c r="AE66" s="1328"/>
      <c r="AF66" s="1328"/>
      <c r="AG66" s="1328"/>
      <c r="AH66" s="1328"/>
      <c r="AI66" s="1329"/>
      <c r="AJ66" s="1310"/>
      <c r="AK66" s="1306"/>
      <c r="AL66" s="1306"/>
      <c r="AN66" s="1342"/>
      <c r="AO66" s="1342"/>
      <c r="AP66" s="1343"/>
      <c r="AQ66" s="1342"/>
      <c r="AR66" s="1342"/>
      <c r="AS66" s="1342"/>
      <c r="AT66" s="1342"/>
      <c r="AU66" s="1342"/>
      <c r="AV66" s="1342"/>
      <c r="AW66" s="1148"/>
      <c r="AX66" s="575"/>
      <c r="AY66" s="575"/>
      <c r="AZ66" s="280" t="s">
        <v>240</v>
      </c>
      <c r="BA66" s="284">
        <f>$AP$15</f>
        <v>41625</v>
      </c>
      <c r="BB66" s="283">
        <f>BC66</f>
        <v>9.3600000000000003E-2</v>
      </c>
      <c r="BC66" s="283">
        <f>$AQ$15</f>
        <v>9.3600000000000003E-2</v>
      </c>
      <c r="BD66" s="52"/>
      <c r="BE66" s="52"/>
      <c r="BF66" s="52"/>
      <c r="BG66" s="52"/>
      <c r="BH66" s="48"/>
      <c r="BI66" s="48"/>
      <c r="BJ66" s="48"/>
      <c r="BK66" s="48"/>
      <c r="BL66" s="48"/>
      <c r="BN66" s="48"/>
      <c r="BO66" s="48"/>
      <c r="BP66" s="280" t="s">
        <v>236</v>
      </c>
      <c r="BQ66" s="284">
        <f>$AP$10</f>
        <v>41592</v>
      </c>
      <c r="BR66" s="289">
        <f>BS66+BT66/2</f>
        <v>0.10059999999999999</v>
      </c>
      <c r="BS66" s="1114">
        <v>9.2100000000000001E-2</v>
      </c>
      <c r="BT66" s="1114">
        <f>10.91%-9.21%</f>
        <v>1.6999999999999987E-2</v>
      </c>
      <c r="BU66" s="1115" t="s">
        <v>446</v>
      </c>
      <c r="BV66" s="48"/>
      <c r="BW66" s="48"/>
      <c r="BX66" s="48"/>
      <c r="BY66" s="48"/>
      <c r="BZ66" s="48"/>
      <c r="CA66" s="48"/>
      <c r="CB66" s="48"/>
      <c r="CD66" s="48"/>
      <c r="CE66" s="48"/>
      <c r="CF66" s="280" t="s">
        <v>417</v>
      </c>
      <c r="CG66" s="286">
        <f t="shared" si="24"/>
        <v>6.7000000000000004E-2</v>
      </c>
      <c r="CH66" s="286">
        <f t="shared" si="25"/>
        <v>6.2E-2</v>
      </c>
      <c r="CI66" s="283">
        <f t="shared" si="26"/>
        <v>5.0000000000000044E-3</v>
      </c>
      <c r="CJ66" s="48"/>
      <c r="CK66" s="48"/>
      <c r="CL66" s="48"/>
      <c r="CM66" s="48"/>
      <c r="CN66" s="48"/>
      <c r="CO66" s="48"/>
      <c r="CP66" s="48"/>
      <c r="CQ66" s="48"/>
      <c r="CR66" s="48"/>
    </row>
    <row r="67" spans="1:96">
      <c r="A67" s="216"/>
      <c r="B67" s="207"/>
      <c r="C67" s="182"/>
      <c r="D67" s="978"/>
      <c r="E67" s="498">
        <v>1</v>
      </c>
      <c r="F67" s="499">
        <v>2</v>
      </c>
      <c r="G67" s="499">
        <v>3</v>
      </c>
      <c r="H67" s="499">
        <v>4</v>
      </c>
      <c r="I67" s="499">
        <v>5</v>
      </c>
      <c r="J67" s="499">
        <v>6</v>
      </c>
      <c r="K67" s="499">
        <v>7</v>
      </c>
      <c r="L67" s="499">
        <v>8</v>
      </c>
      <c r="M67" s="499">
        <v>9</v>
      </c>
      <c r="N67" s="499">
        <v>10</v>
      </c>
      <c r="O67" s="499">
        <v>11</v>
      </c>
      <c r="P67" s="499">
        <v>12</v>
      </c>
      <c r="Q67" s="500">
        <v>13</v>
      </c>
      <c r="R67" s="160"/>
      <c r="T67" s="1756">
        <v>10</v>
      </c>
      <c r="U67" s="1756" t="s">
        <v>359</v>
      </c>
      <c r="V67" s="1756" t="s">
        <v>607</v>
      </c>
      <c r="W67" s="1760" t="s">
        <v>609</v>
      </c>
      <c r="X67" s="1756" t="s">
        <v>610</v>
      </c>
      <c r="Y67" s="1760" t="s">
        <v>611</v>
      </c>
      <c r="Z67" s="1756" t="s">
        <v>612</v>
      </c>
      <c r="AA67" s="1329"/>
      <c r="AB67" s="1339"/>
      <c r="AC67" s="1328"/>
      <c r="AD67" s="1340"/>
      <c r="AE67" s="1328"/>
      <c r="AF67" s="1328"/>
      <c r="AG67" s="1328"/>
      <c r="AH67" s="1328"/>
      <c r="AI67" s="1329"/>
      <c r="AJ67" s="1310"/>
      <c r="AK67" s="1306"/>
      <c r="AL67" s="1306"/>
      <c r="AN67" s="1342"/>
      <c r="AO67" s="1342"/>
      <c r="AP67" s="1331"/>
      <c r="AQ67" s="1331"/>
      <c r="AR67" s="1331"/>
      <c r="AS67" s="1331"/>
      <c r="AT67" s="1331"/>
      <c r="AU67" s="1331"/>
      <c r="AV67" s="1344"/>
      <c r="AW67" s="1148"/>
      <c r="AX67" s="575"/>
      <c r="AY67" s="575"/>
      <c r="AZ67" s="670" t="s">
        <v>238</v>
      </c>
      <c r="BA67" s="284">
        <f>$AP$12</f>
        <v>41303</v>
      </c>
      <c r="BB67" s="283">
        <f>BC67</f>
        <v>9.5000000000000001E-2</v>
      </c>
      <c r="BC67" s="283">
        <f>$AQ$12</f>
        <v>9.5000000000000001E-2</v>
      </c>
      <c r="BD67" s="283"/>
      <c r="BE67" s="48"/>
      <c r="BF67" s="48"/>
      <c r="BG67" s="48"/>
      <c r="BH67" s="48"/>
      <c r="BI67" s="48"/>
      <c r="BJ67" s="48"/>
      <c r="BK67" s="48"/>
      <c r="BL67" s="48"/>
      <c r="BN67" s="48"/>
      <c r="BO67" s="48"/>
      <c r="BP67" s="280" t="s">
        <v>238</v>
      </c>
      <c r="BQ67" s="284">
        <f>$AP$12</f>
        <v>41303</v>
      </c>
      <c r="BR67" s="286">
        <f t="shared" ref="BR67:BR72" si="28">BS67</f>
        <v>0.104</v>
      </c>
      <c r="BS67" s="283">
        <f>$AU$12</f>
        <v>0.104</v>
      </c>
      <c r="BT67" s="283"/>
      <c r="BU67" s="48"/>
      <c r="BV67" s="48"/>
      <c r="BW67" s="48"/>
      <c r="BX67" s="48"/>
      <c r="BY67" s="48"/>
      <c r="BZ67" s="48"/>
      <c r="CA67" s="48"/>
      <c r="CB67" s="48"/>
      <c r="CD67" s="48"/>
      <c r="CE67" s="48"/>
      <c r="CF67" s="280" t="s">
        <v>237</v>
      </c>
      <c r="CG67" s="286">
        <f t="shared" si="24"/>
        <v>7.6500000000000012E-2</v>
      </c>
      <c r="CH67" s="286">
        <f t="shared" si="25"/>
        <v>7.0500000000000007E-2</v>
      </c>
      <c r="CI67" s="283">
        <f t="shared" si="26"/>
        <v>6.0000000000000053E-3</v>
      </c>
      <c r="CJ67" s="48"/>
      <c r="CK67" s="48"/>
      <c r="CL67" s="48"/>
      <c r="CM67" s="48"/>
      <c r="CN67" s="48"/>
      <c r="CO67" s="48"/>
      <c r="CP67" s="48"/>
      <c r="CQ67" s="48"/>
      <c r="CR67" s="48"/>
    </row>
    <row r="68" spans="1:96">
      <c r="A68" s="216"/>
      <c r="B68" s="241"/>
      <c r="C68" s="184" t="str">
        <f>'[1]Calculation Rf &amp; Cd'!$AH$1</f>
        <v>A</v>
      </c>
      <c r="D68" s="501">
        <v>1</v>
      </c>
      <c r="E68" s="135">
        <v>2.1337104363824571</v>
      </c>
      <c r="F68" s="136">
        <v>2.3919524745990182</v>
      </c>
      <c r="G68" s="137">
        <v>2.6501945128155793</v>
      </c>
      <c r="H68" s="136">
        <v>2.8934611794822458</v>
      </c>
      <c r="I68" s="136">
        <v>3.1367278461489128</v>
      </c>
      <c r="J68" s="137">
        <v>3.3799945128155793</v>
      </c>
      <c r="K68" s="136">
        <v>3.5365734937072988</v>
      </c>
      <c r="L68" s="502">
        <v>3.6931524745990187</v>
      </c>
      <c r="M68" s="136">
        <v>3.8279892898856436</v>
      </c>
      <c r="N68" s="136">
        <v>3.9628261051722684</v>
      </c>
      <c r="O68" s="136">
        <v>4.0976629204588937</v>
      </c>
      <c r="P68" s="136">
        <v>4.2324997357455185</v>
      </c>
      <c r="Q68" s="147">
        <v>4.3673365510321434</v>
      </c>
      <c r="R68" s="160"/>
      <c r="T68" s="1758" t="s">
        <v>139</v>
      </c>
      <c r="U68" s="1752">
        <f>U15</f>
        <v>1.2999999999999999E-2</v>
      </c>
      <c r="V68" s="1752">
        <f>$U$3+U68</f>
        <v>5.2999999999999999E-2</v>
      </c>
      <c r="W68" s="1761">
        <f>L116</f>
        <v>1.7951999999999999E-2</v>
      </c>
      <c r="X68" s="1755">
        <f>W68/$T$67/2*(1+V68)^$T$67</f>
        <v>1.5044111923122243E-3</v>
      </c>
      <c r="Y68" s="1764">
        <f>R116</f>
        <v>0.85</v>
      </c>
      <c r="Z68" s="1765">
        <f>(Y68*U68-X68)/$U$5</f>
        <v>0.18182073919405287</v>
      </c>
      <c r="AA68" s="1329"/>
      <c r="AB68" s="1339"/>
      <c r="AC68" s="1339"/>
      <c r="AD68" s="1328"/>
      <c r="AE68" s="1328"/>
      <c r="AF68" s="1328"/>
      <c r="AG68" s="1328"/>
      <c r="AH68" s="1328"/>
      <c r="AI68" s="1329"/>
      <c r="AJ68" s="1310"/>
      <c r="AK68" s="1328"/>
      <c r="AL68" s="1306"/>
      <c r="AN68" s="1342"/>
      <c r="AO68" s="1342"/>
      <c r="AP68" s="1331"/>
      <c r="AQ68" s="1331"/>
      <c r="AR68" s="1331"/>
      <c r="AS68" s="1331"/>
      <c r="AT68" s="1331"/>
      <c r="AU68" s="1331"/>
      <c r="AV68" s="1344"/>
      <c r="AW68" s="1148"/>
      <c r="AX68" s="48"/>
      <c r="AY68" s="48"/>
      <c r="AZ68" s="670" t="s">
        <v>177</v>
      </c>
      <c r="BA68" s="285">
        <f>$AP$7</f>
        <v>40302</v>
      </c>
      <c r="BB68" s="283">
        <f>BC68</f>
        <v>9.6121785799172826E-2</v>
      </c>
      <c r="BC68" s="286">
        <f>$AQ$7</f>
        <v>9.6121785799172826E-2</v>
      </c>
      <c r="BD68" s="283"/>
      <c r="BE68" s="48"/>
      <c r="BF68" s="48"/>
      <c r="BG68" s="48"/>
      <c r="BH68" s="48"/>
      <c r="BI68" s="48"/>
      <c r="BJ68" s="48"/>
      <c r="BK68" s="48"/>
      <c r="BL68" s="48"/>
      <c r="BN68" s="48"/>
      <c r="BO68" s="48"/>
      <c r="BP68" s="280" t="s">
        <v>240</v>
      </c>
      <c r="BQ68" s="1128">
        <f>$AV$15</f>
        <v>40864</v>
      </c>
      <c r="BR68" s="286">
        <f t="shared" si="28"/>
        <v>0.104</v>
      </c>
      <c r="BS68" s="283">
        <f>$AU$15</f>
        <v>0.104</v>
      </c>
      <c r="BT68" s="283"/>
      <c r="BU68" s="48"/>
      <c r="BV68" s="48"/>
      <c r="BW68" s="48"/>
      <c r="BX68" s="48"/>
      <c r="BY68" s="48"/>
      <c r="BZ68" s="48"/>
      <c r="CA68" s="48"/>
      <c r="CB68" s="48"/>
      <c r="CD68" s="48"/>
      <c r="CE68" s="48"/>
      <c r="CF68" s="282" t="s">
        <v>246</v>
      </c>
      <c r="CG68" s="286">
        <f t="shared" si="24"/>
        <v>0.1137</v>
      </c>
      <c r="CH68" s="286">
        <f t="shared" si="25"/>
        <v>0.1053</v>
      </c>
      <c r="CI68" s="283">
        <f t="shared" si="26"/>
        <v>8.3999999999999908E-3</v>
      </c>
      <c r="CJ68" s="48"/>
      <c r="CK68" s="48"/>
      <c r="CL68" s="48"/>
      <c r="CM68" s="48"/>
      <c r="CN68" s="48"/>
      <c r="CO68" s="48"/>
      <c r="CP68" s="48"/>
      <c r="CQ68" s="48"/>
      <c r="CR68" s="48"/>
    </row>
    <row r="69" spans="1:96">
      <c r="A69" s="216"/>
      <c r="B69" s="160"/>
      <c r="C69" s="185" t="s">
        <v>143</v>
      </c>
      <c r="D69" s="501">
        <v>2</v>
      </c>
      <c r="E69" s="138">
        <v>2.3036330478474256</v>
      </c>
      <c r="F69" s="139">
        <v>2.6097370287391453</v>
      </c>
      <c r="G69" s="139">
        <v>2.9158410096308653</v>
      </c>
      <c r="H69" s="139">
        <v>3.1335437697157911</v>
      </c>
      <c r="I69" s="139">
        <v>3.3512465298007168</v>
      </c>
      <c r="J69" s="139">
        <v>3.5689492898856425</v>
      </c>
      <c r="K69" s="139">
        <v>3.7187279523060255</v>
      </c>
      <c r="L69" s="503">
        <v>3.868506614726408</v>
      </c>
      <c r="M69" s="139">
        <v>4.01071272937609</v>
      </c>
      <c r="N69" s="139">
        <v>4.1529188440257716</v>
      </c>
      <c r="O69" s="139">
        <v>4.2951249586754532</v>
      </c>
      <c r="P69" s="139">
        <v>4.4373310733251348</v>
      </c>
      <c r="Q69" s="148">
        <v>4.5795371879748163</v>
      </c>
      <c r="R69" s="160"/>
      <c r="T69" s="1759" t="s">
        <v>143</v>
      </c>
      <c r="U69" s="1752">
        <f>Y15</f>
        <v>1.2999999999999999E-2</v>
      </c>
      <c r="V69" s="1752">
        <f>$U$3+U69</f>
        <v>5.2999999999999999E-2</v>
      </c>
      <c r="W69" s="1761">
        <f>L117</f>
        <v>1.7022000000000002E-2</v>
      </c>
      <c r="X69" s="1755">
        <f>W69/$T$67/2*(1+V69)^$T$67</f>
        <v>1.4264754520687771E-3</v>
      </c>
      <c r="Y69" s="1764">
        <f>R117</f>
        <v>0.85</v>
      </c>
      <c r="Z69" s="1765">
        <f>(Y69*U69-X69)/$U$5</f>
        <v>0.18330522948440425</v>
      </c>
      <c r="AA69" s="1329"/>
      <c r="AB69" s="1339"/>
      <c r="AC69" s="1339"/>
      <c r="AD69" s="1328"/>
      <c r="AE69" s="1328"/>
      <c r="AF69" s="1328"/>
      <c r="AG69" s="1328"/>
      <c r="AH69" s="1328"/>
      <c r="AI69" s="1329"/>
      <c r="AJ69" s="1310"/>
      <c r="AK69" s="1306"/>
      <c r="AL69" s="1306"/>
      <c r="AN69" s="1342"/>
      <c r="AO69" s="1342"/>
      <c r="AP69" s="1331"/>
      <c r="AQ69" s="1331"/>
      <c r="AR69" s="1331"/>
      <c r="AS69" s="1331"/>
      <c r="AT69" s="1331"/>
      <c r="AU69" s="1331"/>
      <c r="AV69" s="1344"/>
      <c r="AW69" s="1148"/>
      <c r="AX69" s="48"/>
      <c r="AY69" s="48"/>
      <c r="AZ69" s="670" t="s">
        <v>243</v>
      </c>
      <c r="BA69" s="284">
        <f>$AP$20</f>
        <v>41778</v>
      </c>
      <c r="BB69" s="283">
        <f>BC69</f>
        <v>0.1</v>
      </c>
      <c r="BC69" s="283">
        <f>$AQ$20</f>
        <v>0.1</v>
      </c>
      <c r="BD69" s="283"/>
      <c r="BE69" s="48"/>
      <c r="BF69" s="48"/>
      <c r="BG69" s="48"/>
      <c r="BH69" s="48"/>
      <c r="BI69" s="48"/>
      <c r="BJ69" s="48"/>
      <c r="BK69" s="48"/>
      <c r="BL69" s="48"/>
      <c r="BN69" s="48"/>
      <c r="BO69" s="48"/>
      <c r="BP69" s="280" t="s">
        <v>242</v>
      </c>
      <c r="BQ69" s="1128">
        <f>$AV$19</f>
        <v>41029</v>
      </c>
      <c r="BR69" s="286">
        <f t="shared" si="28"/>
        <v>0.111</v>
      </c>
      <c r="BS69" s="283">
        <f>$AU$19</f>
        <v>0.111</v>
      </c>
      <c r="BT69" s="283"/>
      <c r="BU69" s="48"/>
      <c r="BV69" s="48"/>
      <c r="BW69" s="48"/>
      <c r="BX69" s="48"/>
      <c r="BY69" s="48"/>
      <c r="BZ69" s="48"/>
      <c r="CA69" s="48"/>
      <c r="CB69" s="48"/>
      <c r="CD69" s="48"/>
      <c r="CE69" s="48"/>
      <c r="CF69" s="280" t="s">
        <v>238</v>
      </c>
      <c r="CG69" s="286">
        <f t="shared" si="24"/>
        <v>0.104</v>
      </c>
      <c r="CH69" s="286">
        <f t="shared" si="25"/>
        <v>9.5000000000000001E-2</v>
      </c>
      <c r="CI69" s="283">
        <f t="shared" si="26"/>
        <v>8.9999999999999941E-3</v>
      </c>
      <c r="CJ69" s="48"/>
      <c r="CK69" s="48"/>
      <c r="CL69" s="48"/>
      <c r="CM69" s="48"/>
      <c r="CN69" s="48"/>
      <c r="CO69" s="48"/>
      <c r="CP69" s="48"/>
      <c r="CQ69" s="48"/>
      <c r="CR69" s="48"/>
    </row>
    <row r="70" spans="1:96">
      <c r="A70" s="216"/>
      <c r="B70" s="160"/>
      <c r="C70" s="186" t="str">
        <f>'[1]Calculation Rf &amp; Cd'!$AO$1</f>
        <v>BBB+</v>
      </c>
      <c r="D70" s="501">
        <v>3</v>
      </c>
      <c r="E70" s="140">
        <v>2.4735556593123946</v>
      </c>
      <c r="F70" s="139">
        <v>2.8275215828792728</v>
      </c>
      <c r="G70" s="141">
        <v>3.1814875064461514</v>
      </c>
      <c r="H70" s="139">
        <v>3.3736263599493364</v>
      </c>
      <c r="I70" s="139">
        <v>3.5657652134525213</v>
      </c>
      <c r="J70" s="141">
        <v>3.7579040669557062</v>
      </c>
      <c r="K70" s="139">
        <v>3.9008824109047517</v>
      </c>
      <c r="L70" s="504">
        <v>4.0438607548537977</v>
      </c>
      <c r="M70" s="139">
        <v>4.193436168866536</v>
      </c>
      <c r="N70" s="139">
        <v>4.3430115828792744</v>
      </c>
      <c r="O70" s="139">
        <v>4.4925869968920127</v>
      </c>
      <c r="P70" s="139">
        <v>4.642162410904751</v>
      </c>
      <c r="Q70" s="149">
        <v>4.7917378249174893</v>
      </c>
      <c r="R70" s="160"/>
      <c r="T70" s="1758" t="s">
        <v>142</v>
      </c>
      <c r="U70" s="1752">
        <f>V15</f>
        <v>1.4999999999999999E-2</v>
      </c>
      <c r="V70" s="1752">
        <f>$U$3+U70</f>
        <v>5.5E-2</v>
      </c>
      <c r="W70" s="1761">
        <f>L118</f>
        <v>1.5216E-2</v>
      </c>
      <c r="X70" s="1755">
        <f>W70/$T$67/2*(1+V70)^$T$67</f>
        <v>1.2995563039154136E-3</v>
      </c>
      <c r="Y70" s="1764">
        <f>R118</f>
        <v>0.85</v>
      </c>
      <c r="Z70" s="1765">
        <f>(Y70*U70-X70)/$U$5</f>
        <v>0.2181036894492302</v>
      </c>
      <c r="AA70" s="1329"/>
      <c r="AB70" s="1339"/>
      <c r="AC70" s="1339"/>
      <c r="AD70" s="1328"/>
      <c r="AE70" s="1328"/>
      <c r="AF70" s="1328"/>
      <c r="AG70" s="1328"/>
      <c r="AH70" s="1328"/>
      <c r="AI70" s="1329"/>
      <c r="AJ70" s="1310"/>
      <c r="AK70" s="1306"/>
      <c r="AL70" s="1306"/>
      <c r="AN70" s="1342"/>
      <c r="AO70" s="1342"/>
      <c r="AP70" s="1331"/>
      <c r="AQ70" s="1331"/>
      <c r="AR70" s="1331"/>
      <c r="AS70" s="1331"/>
      <c r="AT70" s="1331"/>
      <c r="AU70" s="1331"/>
      <c r="AV70" s="1344"/>
      <c r="AW70" s="1148"/>
      <c r="AX70" s="48"/>
      <c r="AY70" s="48"/>
      <c r="AZ70" s="280" t="s">
        <v>241</v>
      </c>
      <c r="BA70" s="284">
        <f>$AP$16</f>
        <v>40453</v>
      </c>
      <c r="BB70" s="283">
        <f t="shared" si="27"/>
        <v>0.10199999999999999</v>
      </c>
      <c r="BC70" s="283">
        <f>$AQ$16</f>
        <v>0.10199999999999999</v>
      </c>
      <c r="BD70" s="283"/>
      <c r="BE70" s="48"/>
      <c r="BF70" s="48"/>
      <c r="BG70" s="48"/>
      <c r="BH70" s="48"/>
      <c r="BI70" s="48"/>
      <c r="BJ70" s="48"/>
      <c r="BK70" s="48"/>
      <c r="BL70" s="48"/>
      <c r="BN70" s="48"/>
      <c r="BO70" s="48"/>
      <c r="BP70" s="282" t="s">
        <v>246</v>
      </c>
      <c r="BQ70" s="284">
        <f>$AP$6</f>
        <v>41547</v>
      </c>
      <c r="BR70" s="286">
        <f t="shared" si="28"/>
        <v>0.1137</v>
      </c>
      <c r="BS70" s="283">
        <f>$AU$6</f>
        <v>0.1137</v>
      </c>
      <c r="BT70" s="283"/>
      <c r="BU70" s="48"/>
      <c r="BV70" s="48"/>
      <c r="BW70" s="48"/>
      <c r="BX70" s="48"/>
      <c r="BY70" s="48"/>
      <c r="BZ70" s="48"/>
      <c r="CA70" s="48"/>
      <c r="CB70" s="48"/>
      <c r="CD70" s="48"/>
      <c r="CE70" s="48"/>
      <c r="CF70" s="280" t="s">
        <v>240</v>
      </c>
      <c r="CG70" s="286">
        <f t="shared" si="24"/>
        <v>0.104</v>
      </c>
      <c r="CH70" s="286">
        <f t="shared" si="25"/>
        <v>9.3600000000000003E-2</v>
      </c>
      <c r="CI70" s="283">
        <f t="shared" si="26"/>
        <v>1.0399999999999993E-2</v>
      </c>
      <c r="CJ70" s="48"/>
      <c r="CK70" s="48"/>
      <c r="CL70" s="48"/>
      <c r="CM70" s="48"/>
      <c r="CN70" s="48"/>
      <c r="CO70" s="48"/>
      <c r="CP70" s="48"/>
      <c r="CQ70" s="48"/>
      <c r="CR70" s="48"/>
    </row>
    <row r="71" spans="1:96">
      <c r="A71" s="216"/>
      <c r="B71" s="160"/>
      <c r="C71" s="186" t="str">
        <f>'[1]Calculation Rf &amp; Cd'!$AV$1</f>
        <v>BBB</v>
      </c>
      <c r="D71" s="501">
        <v>4</v>
      </c>
      <c r="E71" s="140">
        <v>2.7522378249174908</v>
      </c>
      <c r="F71" s="139">
        <v>3.1118492898856434</v>
      </c>
      <c r="G71" s="141">
        <v>3.4714607548537959</v>
      </c>
      <c r="H71" s="139">
        <v>3.6469025807561315</v>
      </c>
      <c r="I71" s="139">
        <v>3.8223444066584666</v>
      </c>
      <c r="J71" s="141">
        <v>3.9977862325608022</v>
      </c>
      <c r="K71" s="139">
        <v>4.1464375064461523</v>
      </c>
      <c r="L71" s="504">
        <v>4.2950887803315023</v>
      </c>
      <c r="M71" s="139" t="s">
        <v>165</v>
      </c>
      <c r="N71" s="139" t="s">
        <v>165</v>
      </c>
      <c r="O71" s="139" t="s">
        <v>165</v>
      </c>
      <c r="P71" s="139" t="s">
        <v>165</v>
      </c>
      <c r="Q71" s="149" t="s">
        <v>165</v>
      </c>
      <c r="R71" s="160"/>
      <c r="T71" s="1753"/>
      <c r="U71" s="1754"/>
      <c r="X71" s="1328"/>
      <c r="Y71" s="1328"/>
      <c r="Z71" s="1328"/>
      <c r="AA71" s="1329"/>
      <c r="AB71" s="1339"/>
      <c r="AC71" s="1328"/>
      <c r="AD71" s="1328"/>
      <c r="AE71" s="1328"/>
      <c r="AF71" s="1328"/>
      <c r="AG71" s="1328"/>
      <c r="AH71" s="1328"/>
      <c r="AI71" s="1329"/>
      <c r="AJ71" s="1310"/>
      <c r="AK71" s="1306"/>
      <c r="AL71" s="1306"/>
      <c r="AN71" s="1342"/>
      <c r="AO71" s="1342"/>
      <c r="AP71" s="1331"/>
      <c r="AQ71" s="1331"/>
      <c r="AR71" s="1331"/>
      <c r="AS71" s="1331"/>
      <c r="AT71" s="1331"/>
      <c r="AU71" s="1331"/>
      <c r="AV71" s="1344"/>
      <c r="AW71" s="1148"/>
      <c r="AX71" s="48"/>
      <c r="AY71" s="48"/>
      <c r="AZ71" s="282" t="s">
        <v>246</v>
      </c>
      <c r="BA71" s="284">
        <f>$AP$6</f>
        <v>41547</v>
      </c>
      <c r="BB71" s="283">
        <f t="shared" si="27"/>
        <v>0.1053</v>
      </c>
      <c r="BC71" s="283">
        <f>$AQ$6</f>
        <v>0.1053</v>
      </c>
      <c r="BD71" s="283"/>
      <c r="BE71" s="48"/>
      <c r="BF71" s="48"/>
      <c r="BG71" s="48"/>
      <c r="BH71" s="48"/>
      <c r="BI71" s="48"/>
      <c r="BJ71" s="48"/>
      <c r="BK71" s="48"/>
      <c r="BL71" s="48"/>
      <c r="BN71" s="48"/>
      <c r="BO71" s="48"/>
      <c r="BP71" s="280" t="s">
        <v>241</v>
      </c>
      <c r="BQ71" s="1128">
        <f>$AV$16</f>
        <v>41624</v>
      </c>
      <c r="BR71" s="286">
        <f t="shared" si="28"/>
        <v>0.11799999999999999</v>
      </c>
      <c r="BS71" s="283">
        <f>$AU$16</f>
        <v>0.11799999999999999</v>
      </c>
      <c r="BT71" s="283"/>
      <c r="BU71" s="48"/>
      <c r="BV71" s="48"/>
      <c r="BW71" s="48"/>
      <c r="BX71" s="48"/>
      <c r="BY71" s="48"/>
      <c r="BZ71" s="48"/>
      <c r="CA71" s="48"/>
      <c r="CB71" s="48"/>
      <c r="CD71" s="48"/>
      <c r="CE71" s="48"/>
      <c r="CF71" s="280" t="s">
        <v>241</v>
      </c>
      <c r="CG71" s="286">
        <f t="shared" si="24"/>
        <v>0.11799999999999999</v>
      </c>
      <c r="CH71" s="286">
        <f t="shared" si="25"/>
        <v>0.10199999999999999</v>
      </c>
      <c r="CI71" s="283">
        <f t="shared" si="26"/>
        <v>1.6E-2</v>
      </c>
      <c r="CJ71" s="48"/>
      <c r="CK71" s="48"/>
      <c r="CL71" s="48"/>
      <c r="CM71" s="48"/>
      <c r="CN71" s="48"/>
      <c r="CO71" s="48"/>
      <c r="CP71" s="48"/>
      <c r="CQ71" s="48"/>
      <c r="CR71" s="48"/>
    </row>
    <row r="72" spans="1:96">
      <c r="A72" s="216"/>
      <c r="B72" s="160"/>
      <c r="C72" s="186" t="str">
        <f>'[1]Calculation Rf &amp; Cd'!$BC$1</f>
        <v>BBB-</v>
      </c>
      <c r="D72" s="501">
        <v>5</v>
      </c>
      <c r="E72" s="140">
        <v>3.1330741306499759</v>
      </c>
      <c r="F72" s="139">
        <v>3.5635604363824585</v>
      </c>
      <c r="G72" s="141">
        <v>3.994046742114941</v>
      </c>
      <c r="H72" s="139">
        <v>4.2443760414779979</v>
      </c>
      <c r="I72" s="139">
        <v>4.4947053408410547</v>
      </c>
      <c r="J72" s="141">
        <v>4.7450346402041115</v>
      </c>
      <c r="K72" s="139">
        <v>4.8362518376563424</v>
      </c>
      <c r="L72" s="504">
        <v>4.9274690351085733</v>
      </c>
      <c r="M72" s="139" t="s">
        <v>165</v>
      </c>
      <c r="N72" s="139" t="s">
        <v>165</v>
      </c>
      <c r="O72" s="139" t="s">
        <v>165</v>
      </c>
      <c r="P72" s="139" t="s">
        <v>165</v>
      </c>
      <c r="Q72" s="149" t="s">
        <v>165</v>
      </c>
      <c r="R72" s="160"/>
      <c r="T72" s="1753"/>
      <c r="U72" s="1754"/>
      <c r="W72" s="1328"/>
      <c r="X72" s="1328"/>
      <c r="Y72" s="1328"/>
      <c r="Z72" s="1328"/>
      <c r="AA72" s="1329"/>
      <c r="AB72" s="1341"/>
      <c r="AC72" s="1328"/>
      <c r="AD72" s="1328"/>
      <c r="AE72" s="1328"/>
      <c r="AF72" s="1328"/>
      <c r="AG72" s="1328"/>
      <c r="AH72" s="1328"/>
      <c r="AI72" s="1329"/>
      <c r="AJ72" s="1310"/>
      <c r="AK72" s="1306"/>
      <c r="AL72" s="1306"/>
      <c r="AN72" s="1342"/>
      <c r="AO72" s="1342"/>
      <c r="AP72" s="1331"/>
      <c r="AQ72" s="1331"/>
      <c r="AR72" s="1331"/>
      <c r="AS72" s="1331"/>
      <c r="AT72" s="1331"/>
      <c r="AU72" s="1331"/>
      <c r="AV72" s="1344"/>
      <c r="AW72" s="1148"/>
      <c r="AX72" s="48"/>
      <c r="AY72" s="48"/>
      <c r="AZ72" s="280" t="s">
        <v>236</v>
      </c>
      <c r="BA72" s="285">
        <f>$AP$10</f>
        <v>41592</v>
      </c>
      <c r="BB72" s="283">
        <f t="shared" si="27"/>
        <v>0.1091</v>
      </c>
      <c r="BC72" s="286">
        <f>$AQ$10</f>
        <v>0.1091</v>
      </c>
      <c r="BD72" s="283"/>
      <c r="BE72" s="48"/>
      <c r="BF72" s="48"/>
      <c r="BG72" s="48"/>
      <c r="BH72" s="48"/>
      <c r="BI72" s="48"/>
      <c r="BJ72" s="48"/>
      <c r="BK72" s="48"/>
      <c r="BL72" s="48"/>
      <c r="BN72" s="48"/>
      <c r="BO72" s="48"/>
      <c r="BP72" s="280" t="s">
        <v>247</v>
      </c>
      <c r="BQ72" s="1129">
        <f>$AP$13</f>
        <v>41757</v>
      </c>
      <c r="BR72" s="286">
        <f t="shared" si="28"/>
        <v>0.1429</v>
      </c>
      <c r="BS72" s="286">
        <f>$AU$13</f>
        <v>0.1429</v>
      </c>
      <c r="BT72" s="48"/>
      <c r="BU72" s="48"/>
      <c r="BV72" s="48"/>
      <c r="BW72" s="48"/>
      <c r="BX72" s="48"/>
      <c r="BY72" s="48"/>
      <c r="BZ72" s="48"/>
      <c r="CA72" s="48"/>
      <c r="CB72" s="48"/>
      <c r="CD72" s="48"/>
      <c r="CE72" s="48"/>
      <c r="CF72" s="280" t="s">
        <v>247</v>
      </c>
      <c r="CG72" s="286">
        <f t="shared" si="24"/>
        <v>0.1429</v>
      </c>
      <c r="CH72" s="286">
        <f t="shared" si="25"/>
        <v>0.1226</v>
      </c>
      <c r="CI72" s="283">
        <f t="shared" si="26"/>
        <v>2.0299999999999999E-2</v>
      </c>
      <c r="CJ72" s="48"/>
      <c r="CK72" s="48"/>
      <c r="CL72" s="48"/>
      <c r="CM72" s="48"/>
      <c r="CN72" s="48"/>
      <c r="CO72" s="48"/>
      <c r="CP72" s="48"/>
      <c r="CQ72" s="48"/>
      <c r="CR72" s="48"/>
    </row>
    <row r="73" spans="1:96">
      <c r="A73" s="216"/>
      <c r="B73" s="160"/>
      <c r="C73" s="979" t="s">
        <v>148</v>
      </c>
      <c r="D73" s="984">
        <v>6</v>
      </c>
      <c r="E73" s="980">
        <v>3.6143766784206774</v>
      </c>
      <c r="F73" s="981">
        <v>4.1658338440257703</v>
      </c>
      <c r="G73" s="981">
        <v>4.7172910096308636</v>
      </c>
      <c r="H73" s="981">
        <v>5.0312487591000785</v>
      </c>
      <c r="I73" s="981">
        <v>5.3452065085692935</v>
      </c>
      <c r="J73" s="981">
        <v>5.6591642580385075</v>
      </c>
      <c r="K73" s="981">
        <v>5.7475246083569802</v>
      </c>
      <c r="L73" s="982">
        <v>5.835884958675452</v>
      </c>
      <c r="M73" s="981" t="s">
        <v>165</v>
      </c>
      <c r="N73" s="981" t="s">
        <v>165</v>
      </c>
      <c r="O73" s="981" t="s">
        <v>165</v>
      </c>
      <c r="P73" s="981" t="s">
        <v>165</v>
      </c>
      <c r="Q73" s="983" t="s">
        <v>165</v>
      </c>
      <c r="R73" s="160"/>
      <c r="T73" s="1753"/>
      <c r="U73" s="1754"/>
      <c r="W73" s="1328"/>
      <c r="X73" s="1328"/>
      <c r="Y73" s="1328"/>
      <c r="Z73" s="1328"/>
      <c r="AA73" s="1329"/>
      <c r="AB73" s="1341"/>
      <c r="AC73" s="1341"/>
      <c r="AD73" s="1328"/>
      <c r="AE73" s="1328"/>
      <c r="AF73" s="1328"/>
      <c r="AG73" s="1328"/>
      <c r="AH73" s="1328"/>
      <c r="AI73" s="1329"/>
      <c r="AJ73" s="1310"/>
      <c r="AK73" s="1306"/>
      <c r="AL73" s="1306"/>
      <c r="AN73" s="1342"/>
      <c r="AO73" s="1342"/>
      <c r="AP73" s="1331"/>
      <c r="AQ73" s="1331"/>
      <c r="AR73" s="1331"/>
      <c r="AS73" s="1331"/>
      <c r="AT73" s="1331"/>
      <c r="AU73" s="1331"/>
      <c r="AV73" s="1344"/>
      <c r="AW73" s="1148"/>
      <c r="AX73" s="48"/>
      <c r="AY73" s="48"/>
      <c r="AZ73" s="280" t="s">
        <v>242</v>
      </c>
      <c r="BA73" s="284">
        <f>$AP$19</f>
        <v>41621</v>
      </c>
      <c r="BB73" s="283">
        <f t="shared" si="27"/>
        <v>0.1169</v>
      </c>
      <c r="BC73" s="283">
        <f>$AQ$19</f>
        <v>0.1169</v>
      </c>
      <c r="BD73" s="283"/>
      <c r="BE73" s="48"/>
      <c r="BF73" s="48"/>
      <c r="BG73" s="48"/>
      <c r="BH73" s="48"/>
      <c r="BI73" s="48"/>
      <c r="BJ73" s="48"/>
      <c r="BK73" s="48"/>
      <c r="BL73" s="48"/>
      <c r="BN73" s="48"/>
      <c r="BO73" s="48"/>
      <c r="BP73" s="48"/>
      <c r="BQ73" s="48"/>
      <c r="BR73" s="48"/>
      <c r="BS73" s="48"/>
      <c r="BT73" s="48"/>
      <c r="BU73" s="48"/>
      <c r="BV73" s="48"/>
      <c r="BW73" s="48"/>
      <c r="BX73" s="48"/>
      <c r="BY73" s="48"/>
      <c r="BZ73" s="48"/>
      <c r="CA73" s="48"/>
      <c r="CB73" s="48"/>
      <c r="CD73" s="48"/>
      <c r="CE73" s="48"/>
      <c r="CF73" s="48"/>
      <c r="CG73" s="48"/>
      <c r="CH73" s="48"/>
      <c r="CI73" s="48"/>
      <c r="CJ73" s="48"/>
      <c r="CK73" s="48"/>
      <c r="CL73" s="48"/>
      <c r="CM73" s="48"/>
      <c r="CN73" s="48"/>
      <c r="CO73" s="48"/>
      <c r="CP73" s="48"/>
      <c r="CQ73" s="48"/>
      <c r="CR73" s="48"/>
    </row>
    <row r="74" spans="1:96">
      <c r="A74" s="216"/>
      <c r="B74" s="160"/>
      <c r="C74" s="186" t="str">
        <f>'[1]Calculation Rf &amp; Cd'!$BJ$1</f>
        <v>BB</v>
      </c>
      <c r="D74" s="501">
        <v>7</v>
      </c>
      <c r="E74" s="140">
        <v>4.095679226191379</v>
      </c>
      <c r="F74" s="139">
        <v>4.7681072516690834</v>
      </c>
      <c r="G74" s="141">
        <v>5.440535277146787</v>
      </c>
      <c r="H74" s="139">
        <v>5.8181214767221592</v>
      </c>
      <c r="I74" s="139">
        <v>6.1957076762975314</v>
      </c>
      <c r="J74" s="141">
        <v>6.5732938758729036</v>
      </c>
      <c r="K74" s="139">
        <v>6.6587973790576171</v>
      </c>
      <c r="L74" s="504">
        <v>6.7443008822423307</v>
      </c>
      <c r="M74" s="139" t="s">
        <v>165</v>
      </c>
      <c r="N74" s="139" t="s">
        <v>165</v>
      </c>
      <c r="O74" s="139" t="s">
        <v>165</v>
      </c>
      <c r="P74" s="139" t="s">
        <v>165</v>
      </c>
      <c r="Q74" s="149" t="s">
        <v>165</v>
      </c>
      <c r="R74" s="160"/>
      <c r="T74" s="1750"/>
      <c r="U74" s="1328"/>
      <c r="W74" s="1328"/>
      <c r="X74" s="1328"/>
      <c r="Y74" s="1328"/>
      <c r="Z74" s="1328"/>
      <c r="AA74" s="1329"/>
      <c r="AB74" s="1341"/>
      <c r="AC74" s="1341"/>
      <c r="AD74" s="1328"/>
      <c r="AE74" s="1328"/>
      <c r="AF74" s="1328"/>
      <c r="AG74" s="1328"/>
      <c r="AH74" s="1328"/>
      <c r="AI74" s="1329"/>
      <c r="AJ74" s="1310"/>
      <c r="AK74" s="1306"/>
      <c r="AL74" s="1306"/>
      <c r="AN74" s="1342"/>
      <c r="AO74" s="1342"/>
      <c r="AP74" s="1331"/>
      <c r="AQ74" s="1331"/>
      <c r="AR74" s="1331"/>
      <c r="AS74" s="1331"/>
      <c r="AT74" s="1331"/>
      <c r="AU74" s="1331"/>
      <c r="AV74" s="1344"/>
      <c r="AW74" s="1148"/>
      <c r="AX74" s="48"/>
      <c r="AY74" s="48"/>
      <c r="AZ74" s="280" t="s">
        <v>247</v>
      </c>
      <c r="BA74" s="285">
        <f>$AP$13</f>
        <v>41757</v>
      </c>
      <c r="BB74" s="283">
        <f t="shared" si="27"/>
        <v>0.1226</v>
      </c>
      <c r="BC74" s="286">
        <f>$AQ$13</f>
        <v>0.1226</v>
      </c>
      <c r="BD74" s="283"/>
      <c r="BE74" s="48"/>
      <c r="BF74" s="48"/>
      <c r="BG74" s="48"/>
      <c r="BH74" s="48"/>
      <c r="BI74" s="48"/>
      <c r="BJ74" s="48"/>
      <c r="BK74" s="48"/>
      <c r="BL74" s="48"/>
      <c r="BN74" s="48"/>
      <c r="BO74" s="48"/>
      <c r="BP74" s="48"/>
      <c r="BQ74" s="48"/>
      <c r="BR74" s="48"/>
      <c r="BS74" s="48"/>
      <c r="BT74" s="48"/>
      <c r="BU74" s="48"/>
      <c r="BV74" s="48"/>
      <c r="BW74" s="48"/>
      <c r="BX74" s="48"/>
      <c r="BY74" s="48"/>
      <c r="BZ74" s="48"/>
      <c r="CA74" s="48"/>
      <c r="CB74" s="48"/>
      <c r="CD74" s="48"/>
      <c r="CE74" s="48"/>
      <c r="CF74" s="48"/>
      <c r="CG74" s="48"/>
      <c r="CH74" s="48"/>
      <c r="CI74" s="48"/>
      <c r="CJ74" s="48"/>
      <c r="CK74" s="48"/>
      <c r="CL74" s="48"/>
      <c r="CM74" s="48"/>
      <c r="CN74" s="48"/>
      <c r="CO74" s="48"/>
      <c r="CP74" s="48"/>
      <c r="CQ74" s="48"/>
      <c r="CR74" s="48"/>
    </row>
    <row r="75" spans="1:96">
      <c r="A75" s="216"/>
      <c r="B75" s="160"/>
      <c r="C75" s="187" t="s">
        <v>149</v>
      </c>
      <c r="D75" s="501">
        <v>8</v>
      </c>
      <c r="E75" s="142">
        <v>4.6732422835162213</v>
      </c>
      <c r="F75" s="139">
        <v>5.4908353408410582</v>
      </c>
      <c r="G75" s="124">
        <v>6.3084283981658951</v>
      </c>
      <c r="H75" s="139">
        <v>6.7623687378686563</v>
      </c>
      <c r="I75" s="139">
        <v>7.2163090775714176</v>
      </c>
      <c r="J75" s="124">
        <v>7.6702494172741789</v>
      </c>
      <c r="K75" s="139">
        <v>6.9625549692911628</v>
      </c>
      <c r="L75" s="505">
        <v>7.8343999905225852</v>
      </c>
      <c r="M75" s="139" t="s">
        <v>165</v>
      </c>
      <c r="N75" s="139" t="s">
        <v>165</v>
      </c>
      <c r="O75" s="139" t="s">
        <v>165</v>
      </c>
      <c r="P75" s="139" t="s">
        <v>165</v>
      </c>
      <c r="Q75" s="149" t="s">
        <v>165</v>
      </c>
      <c r="R75" s="160"/>
      <c r="T75" s="1750"/>
      <c r="U75" s="1175"/>
      <c r="W75" s="1328"/>
      <c r="X75" s="1328"/>
      <c r="Y75" s="1328"/>
      <c r="Z75" s="1328"/>
      <c r="AA75" s="1329"/>
      <c r="AB75" s="1341"/>
      <c r="AC75" s="1341"/>
      <c r="AD75" s="1328"/>
      <c r="AE75" s="1328"/>
      <c r="AF75" s="1328"/>
      <c r="AG75" s="1328"/>
      <c r="AH75" s="1328"/>
      <c r="AI75" s="1329"/>
      <c r="AJ75" s="1310"/>
      <c r="AK75" s="1306"/>
      <c r="AL75" s="1306"/>
      <c r="AN75" s="1342"/>
      <c r="AO75" s="1342"/>
      <c r="AP75" s="1342"/>
      <c r="AQ75" s="1331"/>
      <c r="AR75" s="1331"/>
      <c r="AS75" s="1331"/>
      <c r="AT75" s="1331"/>
      <c r="AU75" s="1342"/>
      <c r="AV75" s="1342"/>
      <c r="AW75" s="1148"/>
      <c r="AX75" s="48"/>
      <c r="AY75" s="48"/>
      <c r="AZ75" s="48"/>
      <c r="BA75" s="48"/>
      <c r="BB75" s="48"/>
      <c r="BC75" s="48"/>
      <c r="BD75" s="48"/>
      <c r="BE75" s="48"/>
      <c r="BF75" s="48"/>
      <c r="BG75" s="48"/>
      <c r="BH75" s="48"/>
      <c r="BI75" s="48"/>
      <c r="BJ75" s="48"/>
      <c r="BK75" s="48"/>
      <c r="BL75" s="48"/>
      <c r="BN75" s="48"/>
      <c r="BO75" s="48"/>
      <c r="BP75" s="48"/>
      <c r="BQ75" s="48"/>
      <c r="BR75" s="48"/>
      <c r="BS75" s="48"/>
      <c r="BT75" s="48"/>
      <c r="BU75" s="48"/>
      <c r="BV75" s="48"/>
      <c r="BW75" s="48"/>
      <c r="BX75" s="48"/>
      <c r="BY75" s="48"/>
      <c r="BZ75" s="48"/>
      <c r="CA75" s="48"/>
      <c r="CB75" s="48"/>
      <c r="CD75" s="48"/>
      <c r="CE75" s="48"/>
      <c r="CF75" s="48"/>
      <c r="CG75" s="48"/>
      <c r="CH75" s="48"/>
      <c r="CI75" s="48"/>
      <c r="CJ75" s="48"/>
      <c r="CK75" s="48"/>
      <c r="CL75" s="48"/>
      <c r="CM75" s="48"/>
      <c r="CN75" s="48"/>
      <c r="CO75" s="48"/>
      <c r="CP75" s="48"/>
      <c r="CQ75" s="48"/>
      <c r="CR75" s="48"/>
    </row>
    <row r="76" spans="1:96" ht="14.25">
      <c r="A76" s="216"/>
      <c r="B76" s="160"/>
      <c r="C76" s="187" t="s">
        <v>141</v>
      </c>
      <c r="D76" s="501">
        <v>9</v>
      </c>
      <c r="E76" s="142">
        <v>5.3663179523060318</v>
      </c>
      <c r="F76" s="139">
        <v>6.3581090478474289</v>
      </c>
      <c r="G76" s="124">
        <v>7.3499001433888251</v>
      </c>
      <c r="H76" s="139">
        <v>7.8954654512444531</v>
      </c>
      <c r="I76" s="139">
        <v>8.4410307591000819</v>
      </c>
      <c r="J76" s="124">
        <v>8.9865960669557108</v>
      </c>
      <c r="K76" s="139">
        <v>7.2663125595247084</v>
      </c>
      <c r="L76" s="505">
        <v>9.1425189204588921</v>
      </c>
      <c r="M76" s="139" t="s">
        <v>165</v>
      </c>
      <c r="N76" s="139" t="s">
        <v>165</v>
      </c>
      <c r="O76" s="139" t="s">
        <v>165</v>
      </c>
      <c r="P76" s="139" t="s">
        <v>165</v>
      </c>
      <c r="Q76" s="149" t="s">
        <v>165</v>
      </c>
      <c r="R76" s="160"/>
      <c r="T76" s="1750"/>
      <c r="U76" s="1175"/>
      <c r="W76" s="1176"/>
      <c r="X76" s="1175"/>
      <c r="Y76" s="1175"/>
      <c r="Z76" s="1175"/>
      <c r="AA76" s="1177"/>
      <c r="AB76" s="1178"/>
      <c r="AC76" s="1178"/>
      <c r="AD76" s="1175"/>
      <c r="AE76" s="1175"/>
      <c r="AF76" s="1175"/>
      <c r="AG76" s="1175"/>
      <c r="AH76" s="1175"/>
      <c r="AI76" s="1177"/>
      <c r="AJ76" s="1179"/>
      <c r="AN76" s="1148"/>
      <c r="AO76" s="1148"/>
      <c r="AP76" s="1148"/>
      <c r="AU76" s="1148"/>
      <c r="AV76" s="1148"/>
      <c r="AW76" s="1148"/>
    </row>
    <row r="77" spans="1:96" ht="14.25">
      <c r="A77" s="216"/>
      <c r="B77" s="160"/>
      <c r="C77" s="187" t="s">
        <v>150</v>
      </c>
      <c r="D77" s="501">
        <v>10</v>
      </c>
      <c r="E77" s="142">
        <v>6.0593936210958423</v>
      </c>
      <c r="F77" s="139">
        <v>7.2253827548537988</v>
      </c>
      <c r="G77" s="124">
        <v>8.3913718886117561</v>
      </c>
      <c r="H77" s="139">
        <v>9.0285621646202507</v>
      </c>
      <c r="I77" s="139">
        <v>9.6657524406287472</v>
      </c>
      <c r="J77" s="124">
        <v>10.302942716637242</v>
      </c>
      <c r="K77" s="139">
        <v>10.37679028351622</v>
      </c>
      <c r="L77" s="505">
        <v>10.450637850395198</v>
      </c>
      <c r="M77" s="139" t="s">
        <v>165</v>
      </c>
      <c r="N77" s="139" t="s">
        <v>165</v>
      </c>
      <c r="O77" s="139" t="s">
        <v>165</v>
      </c>
      <c r="P77" s="139" t="s">
        <v>165</v>
      </c>
      <c r="Q77" s="149" t="s">
        <v>165</v>
      </c>
      <c r="R77" s="160"/>
      <c r="T77" s="1750"/>
      <c r="U77" s="1175"/>
      <c r="W77" s="1176"/>
      <c r="X77" s="1175"/>
      <c r="Y77" s="1175"/>
      <c r="Z77" s="1175"/>
      <c r="AA77" s="1177"/>
      <c r="AB77" s="1178"/>
      <c r="AC77" s="1178"/>
      <c r="AD77" s="1175"/>
      <c r="AE77" s="1175"/>
      <c r="AF77" s="1175"/>
      <c r="AG77" s="1175"/>
      <c r="AH77" s="1175"/>
      <c r="AI77" s="1177"/>
      <c r="AJ77" s="1179"/>
      <c r="AN77" s="1148"/>
      <c r="AO77" s="1148"/>
      <c r="AP77" s="1148"/>
      <c r="AU77" s="1148"/>
      <c r="AV77" s="1148"/>
      <c r="AW77" s="1148"/>
    </row>
    <row r="78" spans="1:96" ht="14.25">
      <c r="A78" s="216"/>
      <c r="B78" s="160"/>
      <c r="C78" s="188" t="s">
        <v>166</v>
      </c>
      <c r="D78" s="501">
        <v>11</v>
      </c>
      <c r="E78" s="143">
        <v>6.7524692898856529</v>
      </c>
      <c r="F78" s="144">
        <v>8.0926564618601695</v>
      </c>
      <c r="G78" s="125">
        <v>9.4328436338346862</v>
      </c>
      <c r="H78" s="144">
        <v>10.161658877996048</v>
      </c>
      <c r="I78" s="144">
        <v>10.890474122157411</v>
      </c>
      <c r="J78" s="125">
        <v>11.619289366318773</v>
      </c>
      <c r="K78" s="144">
        <v>11.689023073325139</v>
      </c>
      <c r="L78" s="506">
        <v>11.758756780331504</v>
      </c>
      <c r="M78" s="144" t="s">
        <v>165</v>
      </c>
      <c r="N78" s="144" t="s">
        <v>165</v>
      </c>
      <c r="O78" s="144" t="s">
        <v>165</v>
      </c>
      <c r="P78" s="144" t="s">
        <v>165</v>
      </c>
      <c r="Q78" s="150" t="s">
        <v>165</v>
      </c>
      <c r="R78" s="160"/>
      <c r="S78" s="1168"/>
      <c r="T78" s="1750"/>
      <c r="U78" s="1175"/>
      <c r="W78" s="1176"/>
      <c r="X78" s="1175"/>
      <c r="Y78" s="1175"/>
      <c r="Z78" s="1175"/>
      <c r="AA78" s="1177"/>
      <c r="AB78" s="1178"/>
      <c r="AC78" s="1178"/>
      <c r="AD78" s="1175"/>
      <c r="AE78" s="1175"/>
      <c r="AF78" s="1175"/>
      <c r="AG78" s="1175"/>
      <c r="AH78" s="1175"/>
      <c r="AI78" s="1177"/>
      <c r="AJ78" s="1179"/>
      <c r="AK78" s="1027"/>
      <c r="AL78" s="1027"/>
      <c r="AM78" s="1027"/>
      <c r="AN78" s="1148"/>
      <c r="AO78" s="1148"/>
      <c r="AP78" s="1148"/>
      <c r="AU78" s="1148"/>
      <c r="AV78" s="1148"/>
      <c r="AW78" s="1148"/>
    </row>
    <row r="79" spans="1:96" ht="14.25">
      <c r="A79" s="216"/>
      <c r="B79" s="208" t="s">
        <v>145</v>
      </c>
      <c r="C79" s="181"/>
      <c r="D79" s="507">
        <v>0.15</v>
      </c>
      <c r="E79" s="508"/>
      <c r="F79" s="509"/>
      <c r="G79" s="509"/>
      <c r="H79" s="509"/>
      <c r="I79" s="509"/>
      <c r="J79" s="509"/>
      <c r="K79" s="509"/>
      <c r="L79" s="509"/>
      <c r="M79" s="509"/>
      <c r="N79" s="509"/>
      <c r="O79" s="509"/>
      <c r="P79" s="509"/>
      <c r="Q79" s="510"/>
      <c r="R79" s="160"/>
      <c r="S79" s="1168"/>
      <c r="T79" s="1750"/>
      <c r="U79" s="1175"/>
      <c r="W79" s="1176"/>
      <c r="X79" s="1175"/>
      <c r="Y79" s="1175"/>
      <c r="Z79" s="1175"/>
      <c r="AA79" s="1177"/>
      <c r="AB79" s="1178"/>
      <c r="AC79" s="1178"/>
      <c r="AD79" s="1175"/>
      <c r="AE79" s="1175"/>
      <c r="AF79" s="1175"/>
      <c r="AG79" s="1175"/>
      <c r="AH79" s="1175"/>
      <c r="AI79" s="1177"/>
      <c r="AJ79" s="1179"/>
      <c r="AK79" s="1027"/>
      <c r="AL79" s="1027"/>
      <c r="AM79" s="1027"/>
      <c r="AN79" s="1148"/>
      <c r="AO79" s="1148"/>
      <c r="AP79" s="1148"/>
      <c r="AU79" s="1148"/>
      <c r="AV79" s="1148"/>
      <c r="AW79" s="1148"/>
    </row>
    <row r="80" spans="1:96" ht="15" thickBot="1">
      <c r="A80" s="216"/>
      <c r="B80" s="208" t="s">
        <v>4</v>
      </c>
      <c r="C80" s="181"/>
      <c r="D80" s="511">
        <v>2.2699083104395608</v>
      </c>
      <c r="E80" s="512"/>
      <c r="F80" s="513"/>
      <c r="G80" s="514"/>
      <c r="H80" s="513"/>
      <c r="I80" s="513"/>
      <c r="J80" s="514"/>
      <c r="K80" s="513"/>
      <c r="L80" s="151"/>
      <c r="M80" s="513"/>
      <c r="N80" s="513"/>
      <c r="O80" s="513"/>
      <c r="P80" s="513"/>
      <c r="Q80" s="515"/>
      <c r="R80" s="160"/>
      <c r="S80" s="1168"/>
      <c r="T80" s="1750"/>
      <c r="U80" s="1175"/>
      <c r="W80" s="1176"/>
      <c r="X80" s="1175"/>
      <c r="Y80" s="1175"/>
      <c r="Z80" s="1175"/>
      <c r="AA80" s="1177"/>
      <c r="AB80" s="1178"/>
      <c r="AC80" s="1178"/>
      <c r="AD80" s="1175"/>
      <c r="AE80" s="1175"/>
      <c r="AF80" s="1175"/>
      <c r="AG80" s="1175"/>
      <c r="AH80" s="1175"/>
      <c r="AI80" s="1177"/>
      <c r="AJ80" s="1179"/>
      <c r="AK80" s="1027"/>
      <c r="AL80" s="1027"/>
      <c r="AM80" s="1027"/>
      <c r="AN80" s="1148"/>
      <c r="AO80" s="1148"/>
      <c r="AP80" s="1148"/>
      <c r="AU80" s="1148"/>
      <c r="AV80" s="1148"/>
      <c r="AW80" s="1148"/>
    </row>
    <row r="81" spans="1:49" ht="14.25">
      <c r="A81" s="216"/>
      <c r="B81" s="209"/>
      <c r="C81" s="178"/>
      <c r="D81" s="179"/>
      <c r="E81" s="176"/>
      <c r="F81" s="176"/>
      <c r="G81" s="180"/>
      <c r="H81" s="176"/>
      <c r="I81" s="176"/>
      <c r="J81" s="180"/>
      <c r="K81" s="176"/>
      <c r="L81" s="176"/>
      <c r="M81" s="180"/>
      <c r="N81" s="176"/>
      <c r="O81" s="176"/>
      <c r="P81" s="180"/>
      <c r="Q81" s="176"/>
      <c r="R81" s="176"/>
      <c r="S81" s="1168"/>
      <c r="T81" s="1750"/>
      <c r="U81" s="1175"/>
      <c r="W81" s="1176"/>
      <c r="X81" s="1175"/>
      <c r="Y81" s="1175"/>
      <c r="Z81" s="1175"/>
      <c r="AA81" s="1177"/>
      <c r="AB81" s="1178"/>
      <c r="AC81" s="1178"/>
      <c r="AD81" s="1175"/>
      <c r="AE81" s="1175"/>
      <c r="AF81" s="1175"/>
      <c r="AG81" s="1175"/>
      <c r="AH81" s="1175"/>
      <c r="AI81" s="1177"/>
      <c r="AJ81" s="1179"/>
      <c r="AK81" s="1027"/>
      <c r="AL81" s="1027"/>
      <c r="AM81" s="1027"/>
      <c r="AN81" s="1148"/>
      <c r="AO81" s="1148"/>
      <c r="AP81" s="1148"/>
      <c r="AU81" s="1148"/>
      <c r="AV81" s="1148"/>
      <c r="AW81" s="1148"/>
    </row>
    <row r="82" spans="1:49">
      <c r="A82" s="216"/>
      <c r="B82" s="154"/>
      <c r="C82" s="49"/>
      <c r="D82" s="89"/>
      <c r="E82" s="90"/>
      <c r="F82" s="90"/>
      <c r="G82" s="87"/>
      <c r="H82" s="90"/>
      <c r="I82" s="90"/>
      <c r="J82" s="87"/>
      <c r="K82" s="90"/>
      <c r="L82" s="90"/>
      <c r="M82" s="87"/>
      <c r="N82" s="90"/>
      <c r="O82" s="90"/>
      <c r="P82" s="87"/>
      <c r="Q82" s="90"/>
      <c r="R82" s="90"/>
      <c r="S82" s="1168"/>
      <c r="T82" s="1750"/>
      <c r="U82" s="1750"/>
      <c r="AA82" s="1181"/>
      <c r="AD82" s="1180"/>
      <c r="AE82" s="1180"/>
      <c r="AF82" s="1180"/>
      <c r="AG82" s="1180"/>
      <c r="AI82" s="1181"/>
      <c r="AJ82" s="1027"/>
      <c r="AK82" s="1027"/>
      <c r="AL82" s="1027"/>
      <c r="AM82" s="1027"/>
      <c r="AN82" s="1148"/>
      <c r="AO82" s="1148"/>
      <c r="AP82" s="1148"/>
      <c r="AU82" s="1148"/>
      <c r="AV82" s="1148"/>
      <c r="AW82" s="1148"/>
    </row>
    <row r="83" spans="1:49" ht="13.5" thickBot="1">
      <c r="A83" s="216"/>
      <c r="B83" s="229" t="s">
        <v>180</v>
      </c>
      <c r="C83" s="178"/>
      <c r="D83" s="177" t="s">
        <v>183</v>
      </c>
      <c r="E83" s="209" t="s">
        <v>135</v>
      </c>
      <c r="F83" s="230" t="s">
        <v>136</v>
      </c>
      <c r="G83" s="177" t="s">
        <v>137</v>
      </c>
      <c r="H83" s="209" t="s">
        <v>135</v>
      </c>
      <c r="I83" s="230" t="s">
        <v>136</v>
      </c>
      <c r="J83" s="177" t="s">
        <v>168</v>
      </c>
      <c r="K83" s="209" t="s">
        <v>135</v>
      </c>
      <c r="L83" s="230" t="s">
        <v>136</v>
      </c>
      <c r="M83" s="177" t="s">
        <v>2</v>
      </c>
      <c r="N83" s="209" t="s">
        <v>135</v>
      </c>
      <c r="O83" s="230" t="s">
        <v>136</v>
      </c>
      <c r="P83" s="177" t="s">
        <v>76</v>
      </c>
      <c r="Q83" s="209" t="s">
        <v>135</v>
      </c>
      <c r="R83" s="230" t="s">
        <v>136</v>
      </c>
      <c r="T83" s="1750"/>
      <c r="U83" s="1750"/>
      <c r="AN83" s="1148"/>
      <c r="AO83" s="1148"/>
      <c r="AP83" s="1148"/>
      <c r="AU83" s="1148"/>
      <c r="AV83" s="1148"/>
      <c r="AW83" s="1148"/>
    </row>
    <row r="84" spans="1:49">
      <c r="A84" s="216"/>
      <c r="B84" s="210" t="s">
        <v>184</v>
      </c>
      <c r="C84" s="190" t="s">
        <v>185</v>
      </c>
      <c r="D84" s="1182">
        <v>0.42</v>
      </c>
      <c r="E84" s="1186">
        <v>0.36</v>
      </c>
      <c r="F84" s="1187">
        <v>0.45</v>
      </c>
      <c r="G84" s="1183">
        <v>0.42</v>
      </c>
      <c r="H84" s="1186">
        <v>0.39</v>
      </c>
      <c r="I84" s="1187">
        <v>0.44</v>
      </c>
      <c r="J84" s="1188">
        <v>0.42</v>
      </c>
      <c r="K84" s="1186">
        <v>0.36</v>
      </c>
      <c r="L84" s="1186">
        <v>0.45</v>
      </c>
      <c r="M84" s="1183">
        <v>0.42</v>
      </c>
      <c r="N84" s="1186">
        <v>0.36</v>
      </c>
      <c r="O84" s="1187">
        <v>0.45</v>
      </c>
      <c r="P84" s="1188">
        <v>0.42</v>
      </c>
      <c r="Q84" s="1186">
        <v>0.36</v>
      </c>
      <c r="R84" s="1189">
        <v>0.45</v>
      </c>
      <c r="T84" s="1750"/>
      <c r="U84" s="1750"/>
      <c r="AN84" s="1148"/>
      <c r="AO84" s="1148"/>
      <c r="AP84" s="1148"/>
      <c r="AU84" s="1148"/>
      <c r="AV84" s="1148"/>
      <c r="AW84" s="1148"/>
    </row>
    <row r="85" spans="1:49">
      <c r="A85" s="216"/>
      <c r="B85" s="211" t="s">
        <v>172</v>
      </c>
      <c r="C85" s="526" t="s">
        <v>185</v>
      </c>
      <c r="D85" s="1184">
        <v>0.4</v>
      </c>
      <c r="E85" s="1190">
        <v>0.34</v>
      </c>
      <c r="F85" s="1191">
        <v>0.43</v>
      </c>
      <c r="G85" s="1185">
        <v>0.42</v>
      </c>
      <c r="H85" s="1190">
        <v>0.39</v>
      </c>
      <c r="I85" s="1191">
        <v>0.44</v>
      </c>
      <c r="J85" s="1185">
        <v>0.44</v>
      </c>
      <c r="K85" s="1190">
        <v>0.39</v>
      </c>
      <c r="L85" s="1190">
        <v>0.49</v>
      </c>
      <c r="M85" s="1185">
        <v>0.32</v>
      </c>
      <c r="N85" s="1190">
        <v>0.27</v>
      </c>
      <c r="O85" s="1191">
        <v>0.36</v>
      </c>
      <c r="P85" s="1185">
        <v>0.32</v>
      </c>
      <c r="Q85" s="1190">
        <v>0.27</v>
      </c>
      <c r="R85" s="1192">
        <v>0.36</v>
      </c>
      <c r="T85" s="1750"/>
      <c r="U85" s="1750"/>
      <c r="AN85" s="1148"/>
      <c r="AO85" s="1148"/>
      <c r="AP85" s="1148"/>
      <c r="AU85" s="1148"/>
      <c r="AV85" s="1148"/>
      <c r="AW85" s="1148"/>
    </row>
    <row r="86" spans="1:49">
      <c r="A86" s="216"/>
      <c r="B86" s="210" t="s">
        <v>187</v>
      </c>
      <c r="C86" s="190" t="s">
        <v>185</v>
      </c>
      <c r="D86" s="525" t="s">
        <v>143</v>
      </c>
      <c r="E86" s="647" t="s">
        <v>139</v>
      </c>
      <c r="F86" s="648" t="s">
        <v>142</v>
      </c>
      <c r="G86" s="162" t="s">
        <v>141</v>
      </c>
      <c r="H86" s="647" t="s">
        <v>149</v>
      </c>
      <c r="I86" s="648" t="s">
        <v>141</v>
      </c>
      <c r="J86" s="524" t="s">
        <v>140</v>
      </c>
      <c r="K86" s="647" t="s">
        <v>142</v>
      </c>
      <c r="L86" s="647" t="s">
        <v>171</v>
      </c>
      <c r="M86" s="162" t="s">
        <v>171</v>
      </c>
      <c r="N86" s="647" t="s">
        <v>140</v>
      </c>
      <c r="O86" s="648" t="s">
        <v>148</v>
      </c>
      <c r="P86" s="524" t="s">
        <v>171</v>
      </c>
      <c r="Q86" s="647" t="s">
        <v>140</v>
      </c>
      <c r="R86" s="651" t="s">
        <v>148</v>
      </c>
      <c r="T86" s="1750"/>
      <c r="U86" s="1750"/>
      <c r="AN86" s="1148"/>
      <c r="AO86" s="1148"/>
      <c r="AP86" s="1148"/>
      <c r="AU86" s="1148"/>
      <c r="AV86" s="1148"/>
      <c r="AW86" s="1148"/>
    </row>
    <row r="87" spans="1:49">
      <c r="A87" s="216"/>
      <c r="B87" s="211"/>
      <c r="C87" s="526" t="s">
        <v>185</v>
      </c>
      <c r="D87" s="527" t="s">
        <v>143</v>
      </c>
      <c r="E87" s="647" t="s">
        <v>139</v>
      </c>
      <c r="F87" s="648" t="s">
        <v>142</v>
      </c>
      <c r="G87" s="528" t="s">
        <v>141</v>
      </c>
      <c r="H87" s="647" t="s">
        <v>149</v>
      </c>
      <c r="I87" s="648" t="s">
        <v>141</v>
      </c>
      <c r="J87" s="528" t="s">
        <v>140</v>
      </c>
      <c r="K87" s="647" t="s">
        <v>142</v>
      </c>
      <c r="L87" s="647" t="s">
        <v>171</v>
      </c>
      <c r="M87" s="528" t="s">
        <v>171</v>
      </c>
      <c r="N87" s="647" t="s">
        <v>140</v>
      </c>
      <c r="O87" s="648" t="s">
        <v>148</v>
      </c>
      <c r="P87" s="528" t="s">
        <v>171</v>
      </c>
      <c r="Q87" s="647" t="s">
        <v>140</v>
      </c>
      <c r="R87" s="652" t="s">
        <v>148</v>
      </c>
      <c r="T87" s="1750"/>
      <c r="U87" s="1750"/>
      <c r="AN87" s="1148"/>
      <c r="AO87" s="1148"/>
      <c r="AP87" s="1148"/>
      <c r="AU87" s="1148"/>
      <c r="AV87" s="1148"/>
      <c r="AW87" s="1148"/>
    </row>
    <row r="88" spans="1:49" ht="13.5" thickBot="1">
      <c r="A88" s="216"/>
      <c r="B88" s="212" t="s">
        <v>189</v>
      </c>
      <c r="C88" s="191"/>
      <c r="D88" s="1278">
        <v>0.27812500000000001</v>
      </c>
      <c r="E88" s="1279">
        <v>0.25428571428571428</v>
      </c>
      <c r="F88" s="1280">
        <v>0.29666666666666669</v>
      </c>
      <c r="G88" s="1281">
        <v>0.17115384615384616</v>
      </c>
      <c r="H88" s="1279">
        <v>0.16181818181818183</v>
      </c>
      <c r="I88" s="1280">
        <v>0.17799999999999999</v>
      </c>
      <c r="J88" s="1282">
        <v>0.27812500000000007</v>
      </c>
      <c r="K88" s="1279">
        <v>0.25685425685425689</v>
      </c>
      <c r="L88" s="1279">
        <v>0.30531732418524876</v>
      </c>
      <c r="M88" s="1281">
        <v>0.41875000000000001</v>
      </c>
      <c r="N88" s="1279">
        <v>0.33500000000000002</v>
      </c>
      <c r="O88" s="1280">
        <v>0.3828571428571429</v>
      </c>
      <c r="P88" s="1282">
        <v>0.41875000000000001</v>
      </c>
      <c r="Q88" s="1279">
        <v>0.33500000000000002</v>
      </c>
      <c r="R88" s="1283">
        <v>0.3828571428571429</v>
      </c>
      <c r="T88" s="1750"/>
      <c r="U88" s="1750"/>
      <c r="W88" s="1178"/>
      <c r="X88" s="1178"/>
      <c r="Y88" s="1750"/>
      <c r="Z88" s="1750"/>
      <c r="AA88" s="1177"/>
      <c r="AB88" s="1178"/>
      <c r="AC88" s="1178"/>
      <c r="AD88" s="1178"/>
      <c r="AE88" s="1178"/>
      <c r="AF88" s="1178"/>
      <c r="AG88" s="1750"/>
      <c r="AH88" s="1750"/>
      <c r="AN88" s="1148"/>
      <c r="AO88" s="1148"/>
      <c r="AP88" s="1148"/>
      <c r="AU88" s="1148"/>
      <c r="AV88" s="1148"/>
      <c r="AW88" s="1148"/>
    </row>
    <row r="89" spans="1:49">
      <c r="A89" s="216"/>
      <c r="B89" s="178"/>
      <c r="C89" s="178"/>
      <c r="D89" s="178"/>
      <c r="E89" s="161"/>
      <c r="F89" s="161"/>
      <c r="G89" s="178"/>
      <c r="H89" s="161"/>
      <c r="I89" s="161"/>
      <c r="J89" s="178"/>
      <c r="K89" s="161"/>
      <c r="L89" s="161"/>
      <c r="M89" s="178"/>
      <c r="N89" s="161"/>
      <c r="O89" s="161"/>
      <c r="P89" s="178"/>
      <c r="Q89" s="161"/>
      <c r="R89" s="161"/>
      <c r="T89" s="1750"/>
      <c r="U89" s="1750"/>
      <c r="W89" s="1178"/>
      <c r="X89" s="1178"/>
      <c r="Y89" s="1750"/>
      <c r="Z89" s="1750"/>
      <c r="AA89" s="1177"/>
      <c r="AB89" s="1178"/>
      <c r="AC89" s="1178"/>
      <c r="AD89" s="1178"/>
      <c r="AE89" s="1178"/>
      <c r="AF89" s="1178"/>
      <c r="AG89" s="1750"/>
      <c r="AH89" s="1750"/>
      <c r="AN89" s="1148"/>
      <c r="AO89" s="1148"/>
      <c r="AP89" s="1148"/>
      <c r="AU89" s="1148"/>
      <c r="AV89" s="1148"/>
      <c r="AW89" s="1148"/>
    </row>
    <row r="90" spans="1:49">
      <c r="A90" s="216"/>
      <c r="B90" s="154"/>
      <c r="C90" s="154"/>
      <c r="D90" s="154"/>
      <c r="E90" s="67"/>
      <c r="F90" s="67"/>
      <c r="G90" s="154"/>
      <c r="H90" s="67"/>
      <c r="I90" s="67"/>
      <c r="J90" s="154"/>
      <c r="K90" s="67"/>
      <c r="L90" s="67"/>
      <c r="M90" s="154"/>
      <c r="N90" s="67"/>
      <c r="O90" s="67"/>
      <c r="P90" s="154"/>
      <c r="Q90" s="67"/>
      <c r="R90" s="67"/>
      <c r="T90" s="1750"/>
      <c r="U90" s="1750"/>
      <c r="W90" s="1178"/>
      <c r="X90" s="1178"/>
      <c r="Y90" s="1750"/>
      <c r="Z90" s="1750"/>
      <c r="AA90" s="1177"/>
      <c r="AB90" s="1178"/>
      <c r="AC90" s="1178"/>
      <c r="AD90" s="1178"/>
      <c r="AE90" s="1178"/>
      <c r="AF90" s="1178"/>
      <c r="AG90" s="1750"/>
      <c r="AH90" s="1750"/>
      <c r="AN90" s="1148"/>
      <c r="AO90" s="1148"/>
      <c r="AP90" s="1148"/>
      <c r="AU90" s="1148"/>
      <c r="AV90" s="1148"/>
      <c r="AW90" s="1148"/>
    </row>
    <row r="91" spans="1:49" ht="13.5" thickBot="1">
      <c r="A91" s="216"/>
      <c r="B91" s="229" t="s">
        <v>182</v>
      </c>
      <c r="C91" s="192"/>
      <c r="D91" s="177" t="s">
        <v>183</v>
      </c>
      <c r="E91" s="209" t="s">
        <v>135</v>
      </c>
      <c r="F91" s="230" t="s">
        <v>136</v>
      </c>
      <c r="G91" s="177" t="s">
        <v>137</v>
      </c>
      <c r="H91" s="209" t="s">
        <v>135</v>
      </c>
      <c r="I91" s="230" t="s">
        <v>136</v>
      </c>
      <c r="J91" s="177" t="s">
        <v>168</v>
      </c>
      <c r="K91" s="209" t="s">
        <v>135</v>
      </c>
      <c r="L91" s="230" t="s">
        <v>136</v>
      </c>
      <c r="M91" s="177" t="s">
        <v>2</v>
      </c>
      <c r="N91" s="209" t="s">
        <v>135</v>
      </c>
      <c r="O91" s="230" t="s">
        <v>136</v>
      </c>
      <c r="P91" s="177" t="s">
        <v>76</v>
      </c>
      <c r="Q91" s="209" t="s">
        <v>135</v>
      </c>
      <c r="R91" s="230" t="s">
        <v>136</v>
      </c>
      <c r="U91" s="1750"/>
      <c r="W91" s="1178"/>
      <c r="X91" s="1178"/>
      <c r="Y91" s="1750"/>
      <c r="Z91" s="1750"/>
      <c r="AA91" s="1177"/>
      <c r="AB91" s="1178"/>
      <c r="AC91" s="1178"/>
      <c r="AD91" s="1178"/>
      <c r="AE91" s="1178"/>
      <c r="AF91" s="1178"/>
      <c r="AG91" s="1750"/>
      <c r="AH91" s="1750"/>
      <c r="AN91" s="1148"/>
      <c r="AO91" s="1148"/>
      <c r="AP91" s="1148"/>
      <c r="AU91" s="1148"/>
      <c r="AV91" s="1148"/>
      <c r="AW91" s="1148"/>
    </row>
    <row r="92" spans="1:49">
      <c r="A92" s="216"/>
      <c r="B92" s="210" t="s">
        <v>186</v>
      </c>
      <c r="C92" s="177" t="s">
        <v>185</v>
      </c>
      <c r="D92" s="168">
        <v>0.5</v>
      </c>
      <c r="E92" s="169">
        <v>0.47499999999999998</v>
      </c>
      <c r="F92" s="170">
        <v>0.52500000000000002</v>
      </c>
      <c r="G92" s="171">
        <v>0.6</v>
      </c>
      <c r="H92" s="169">
        <v>0.57499999999999996</v>
      </c>
      <c r="I92" s="170">
        <v>0.625</v>
      </c>
      <c r="J92" s="254">
        <v>0.6</v>
      </c>
      <c r="K92" s="169">
        <v>0.57499999999999996</v>
      </c>
      <c r="L92" s="170">
        <v>0.625</v>
      </c>
      <c r="M92" s="171">
        <v>0.6</v>
      </c>
      <c r="N92" s="169">
        <v>0.57499999999999996</v>
      </c>
      <c r="O92" s="170">
        <v>0.625</v>
      </c>
      <c r="P92" s="254">
        <v>0.6</v>
      </c>
      <c r="Q92" s="169">
        <v>0.57499999999999996</v>
      </c>
      <c r="R92" s="653">
        <v>0.625</v>
      </c>
      <c r="U92" s="1750"/>
      <c r="W92" s="1178"/>
      <c r="X92" s="1178"/>
      <c r="Y92" s="1750"/>
      <c r="Z92" s="1750"/>
      <c r="AA92" s="1177"/>
      <c r="AB92" s="1178"/>
      <c r="AC92" s="1178"/>
      <c r="AD92" s="1178"/>
      <c r="AE92" s="1178"/>
      <c r="AF92" s="1178"/>
      <c r="AG92" s="1750"/>
      <c r="AH92" s="1750"/>
      <c r="AN92" s="1148"/>
      <c r="AO92" s="1148"/>
      <c r="AP92" s="1148"/>
      <c r="AU92" s="1148"/>
      <c r="AV92" s="1148"/>
      <c r="AW92" s="1148"/>
    </row>
    <row r="93" spans="1:49">
      <c r="A93" s="216"/>
      <c r="B93" s="213"/>
      <c r="C93" s="193" t="s">
        <v>185</v>
      </c>
      <c r="D93" s="875">
        <v>0.52500000000000002</v>
      </c>
      <c r="E93" s="877">
        <v>0.5</v>
      </c>
      <c r="F93" s="878">
        <v>0.55000000000000004</v>
      </c>
      <c r="G93" s="89">
        <v>0.6</v>
      </c>
      <c r="H93" s="877">
        <v>0.57499999999999996</v>
      </c>
      <c r="I93" s="878">
        <v>0.625</v>
      </c>
      <c r="J93" s="89">
        <v>0.6</v>
      </c>
      <c r="K93" s="877">
        <v>0.57499999999999996</v>
      </c>
      <c r="L93" s="878">
        <v>0.625</v>
      </c>
      <c r="M93" s="876">
        <v>0.625</v>
      </c>
      <c r="N93" s="877">
        <v>0.6</v>
      </c>
      <c r="O93" s="878">
        <v>0.65</v>
      </c>
      <c r="P93" s="876">
        <v>0.625</v>
      </c>
      <c r="Q93" s="877">
        <v>0.6</v>
      </c>
      <c r="R93" s="879">
        <v>0.65</v>
      </c>
      <c r="U93" s="1750"/>
      <c r="W93" s="1178"/>
      <c r="X93" s="1178"/>
      <c r="Y93" s="1750"/>
      <c r="Z93" s="1750"/>
      <c r="AA93" s="1177"/>
      <c r="AB93" s="1178"/>
      <c r="AC93" s="1178"/>
      <c r="AD93" s="1178"/>
      <c r="AE93" s="1178"/>
      <c r="AF93" s="1178"/>
      <c r="AG93" s="1750"/>
      <c r="AH93" s="1750"/>
      <c r="AN93" s="1148"/>
      <c r="AO93" s="1148"/>
      <c r="AP93" s="1148"/>
      <c r="AU93" s="1148"/>
      <c r="AV93" s="1148"/>
      <c r="AW93" s="1148"/>
    </row>
    <row r="94" spans="1:49" ht="13.5" thickBot="1">
      <c r="A94" s="216"/>
      <c r="B94" s="212" t="s">
        <v>179</v>
      </c>
      <c r="C94" s="194"/>
      <c r="D94" s="172">
        <v>0.8</v>
      </c>
      <c r="E94" s="236">
        <v>0.70000000000000007</v>
      </c>
      <c r="F94" s="237">
        <v>0.9</v>
      </c>
      <c r="G94" s="173">
        <v>0.8</v>
      </c>
      <c r="H94" s="236">
        <v>0.70000000000000007</v>
      </c>
      <c r="I94" s="237">
        <v>0.9</v>
      </c>
      <c r="J94" s="238">
        <v>0.8</v>
      </c>
      <c r="K94" s="642">
        <v>0.70000000000000007</v>
      </c>
      <c r="L94" s="642">
        <v>0.9</v>
      </c>
      <c r="M94" s="173">
        <v>0.8</v>
      </c>
      <c r="N94" s="236">
        <v>0.70000000000000007</v>
      </c>
      <c r="O94" s="237">
        <v>0.9</v>
      </c>
      <c r="P94" s="238">
        <v>0.8</v>
      </c>
      <c r="Q94" s="654">
        <v>0.70000000000000007</v>
      </c>
      <c r="R94" s="655">
        <v>0.9</v>
      </c>
      <c r="U94" s="1750"/>
      <c r="W94" s="1178"/>
      <c r="X94" s="1178"/>
      <c r="Y94" s="1750"/>
      <c r="Z94" s="1750"/>
      <c r="AA94" s="1177"/>
      <c r="AB94" s="1178"/>
      <c r="AC94" s="1178"/>
      <c r="AD94" s="1178"/>
      <c r="AE94" s="1178"/>
      <c r="AF94" s="1178"/>
      <c r="AG94" s="1750"/>
      <c r="AH94" s="1750"/>
      <c r="AN94" s="1148"/>
      <c r="AO94" s="1148"/>
      <c r="AP94" s="1148"/>
      <c r="AU94" s="1148"/>
      <c r="AV94" s="1148"/>
      <c r="AW94" s="1148"/>
    </row>
    <row r="95" spans="1:49">
      <c r="A95" s="216"/>
      <c r="B95" s="192"/>
      <c r="C95" s="192"/>
      <c r="D95" s="189"/>
      <c r="E95" s="161"/>
      <c r="F95" s="161"/>
      <c r="G95" s="178"/>
      <c r="H95" s="161"/>
      <c r="I95" s="161"/>
      <c r="J95" s="178"/>
      <c r="K95" s="161"/>
      <c r="L95" s="161"/>
      <c r="M95" s="178"/>
      <c r="N95" s="161"/>
      <c r="O95" s="161"/>
      <c r="P95" s="178"/>
      <c r="Q95" s="161"/>
      <c r="R95" s="161"/>
      <c r="U95" s="1750"/>
      <c r="W95" s="1178"/>
      <c r="X95" s="1178"/>
      <c r="Y95" s="1750"/>
      <c r="Z95" s="1750"/>
      <c r="AA95" s="1177"/>
      <c r="AB95" s="1178"/>
      <c r="AC95" s="1178"/>
      <c r="AD95" s="1178"/>
      <c r="AE95" s="1178"/>
      <c r="AF95" s="1178"/>
      <c r="AG95" s="1750"/>
      <c r="AH95" s="1750"/>
      <c r="AN95" s="1148"/>
      <c r="AO95" s="1148"/>
      <c r="AP95" s="1148"/>
      <c r="AU95" s="1148"/>
      <c r="AV95" s="1148"/>
      <c r="AW95" s="1148"/>
    </row>
    <row r="96" spans="1:49">
      <c r="A96" s="215"/>
      <c r="B96" s="162" t="s">
        <v>147</v>
      </c>
      <c r="C96" s="162" t="s">
        <v>185</v>
      </c>
      <c r="D96" s="227">
        <f t="shared" ref="D96:F97" si="29">D92*(1+(1-D$7)*D$12)</f>
        <v>0.73900172413793097</v>
      </c>
      <c r="E96" s="157">
        <f t="shared" si="29"/>
        <v>0.65137046874999993</v>
      </c>
      <c r="F96" s="158">
        <f t="shared" si="29"/>
        <v>0.80854295454545455</v>
      </c>
      <c r="G96" s="227">
        <f t="shared" ref="G96:R96" si="30">G92*(1+(1-G$7)*G$12)</f>
        <v>0.88680206896551717</v>
      </c>
      <c r="H96" s="157">
        <f t="shared" si="30"/>
        <v>0.81766790983606552</v>
      </c>
      <c r="I96" s="158">
        <f t="shared" si="30"/>
        <v>0.94915625000000003</v>
      </c>
      <c r="J96" s="227">
        <f t="shared" si="30"/>
        <v>0.88680206896551717</v>
      </c>
      <c r="K96" s="157">
        <f t="shared" si="30"/>
        <v>0.78850109374999988</v>
      </c>
      <c r="L96" s="158">
        <f t="shared" si="30"/>
        <v>0.96255113636363632</v>
      </c>
      <c r="M96" s="227">
        <f t="shared" si="30"/>
        <v>0.88680206896551717</v>
      </c>
      <c r="N96" s="157">
        <f t="shared" si="30"/>
        <v>0.78850109374999988</v>
      </c>
      <c r="O96" s="158">
        <f t="shared" si="30"/>
        <v>0.96255113636363632</v>
      </c>
      <c r="P96" s="227">
        <f t="shared" si="30"/>
        <v>0.88680206896551717</v>
      </c>
      <c r="Q96" s="157">
        <f t="shared" si="30"/>
        <v>0.78850109374999988</v>
      </c>
      <c r="R96" s="158">
        <f t="shared" si="30"/>
        <v>0.96255113636363632</v>
      </c>
      <c r="S96" s="1159"/>
      <c r="U96" s="1750"/>
      <c r="W96" s="1148"/>
      <c r="X96" s="1148"/>
      <c r="Y96" s="1148"/>
      <c r="Z96" s="1148"/>
      <c r="AA96" s="1177"/>
      <c r="AB96" s="1178"/>
      <c r="AC96" s="1178"/>
      <c r="AD96" s="1178"/>
      <c r="AE96" s="1178"/>
      <c r="AF96" s="1178"/>
      <c r="AG96" s="1750"/>
      <c r="AH96" s="1148"/>
      <c r="AI96" s="1001"/>
      <c r="AJ96" s="1005"/>
      <c r="AK96" s="1005"/>
      <c r="AL96" s="1005"/>
      <c r="AM96" s="1005"/>
      <c r="AN96" s="1148"/>
      <c r="AO96" s="1148"/>
      <c r="AP96" s="1148"/>
      <c r="AU96" s="1148"/>
      <c r="AV96" s="1148"/>
      <c r="AW96" s="1148"/>
    </row>
    <row r="97" spans="1:49" ht="13.15" customHeight="1">
      <c r="A97" s="215"/>
      <c r="B97" s="165"/>
      <c r="C97" s="167" t="s">
        <v>185</v>
      </c>
      <c r="D97" s="228">
        <f t="shared" si="29"/>
        <v>0.77595181034482752</v>
      </c>
      <c r="E97" s="163">
        <f t="shared" si="29"/>
        <v>0.68565312499999997</v>
      </c>
      <c r="F97" s="164">
        <f t="shared" si="29"/>
        <v>0.84704500000000005</v>
      </c>
      <c r="G97" s="228">
        <f t="shared" ref="G97:R97" si="31">G93*(1+(1-G$7)*G$12)</f>
        <v>0.88680206896551717</v>
      </c>
      <c r="H97" s="163">
        <f t="shared" si="31"/>
        <v>0.81766790983606552</v>
      </c>
      <c r="I97" s="164">
        <f t="shared" si="31"/>
        <v>0.94915625000000003</v>
      </c>
      <c r="J97" s="228">
        <f t="shared" si="31"/>
        <v>0.88680206896551717</v>
      </c>
      <c r="K97" s="163">
        <f t="shared" si="31"/>
        <v>0.78850109374999988</v>
      </c>
      <c r="L97" s="164">
        <f t="shared" si="31"/>
        <v>0.96255113636363632</v>
      </c>
      <c r="M97" s="228">
        <f t="shared" si="31"/>
        <v>0.92375215517241371</v>
      </c>
      <c r="N97" s="163">
        <f t="shared" si="31"/>
        <v>0.82278374999999992</v>
      </c>
      <c r="O97" s="164">
        <f t="shared" si="31"/>
        <v>1.0010531818181818</v>
      </c>
      <c r="P97" s="228">
        <f t="shared" si="31"/>
        <v>0.92375215517241371</v>
      </c>
      <c r="Q97" s="163">
        <f t="shared" si="31"/>
        <v>0.82278374999999992</v>
      </c>
      <c r="R97" s="164">
        <f t="shared" si="31"/>
        <v>1.0010531818181818</v>
      </c>
      <c r="S97" s="1159"/>
      <c r="U97" s="1750"/>
      <c r="W97" s="1148"/>
      <c r="X97" s="1148"/>
      <c r="Y97" s="1148"/>
      <c r="Z97" s="1148"/>
      <c r="AA97" s="1177"/>
      <c r="AB97" s="1178"/>
      <c r="AC97" s="1178"/>
      <c r="AD97" s="1178"/>
      <c r="AE97" s="1178"/>
      <c r="AF97" s="1178"/>
      <c r="AG97" s="1750"/>
      <c r="AH97" s="1148"/>
      <c r="AI97" s="1001"/>
      <c r="AJ97" s="1028"/>
      <c r="AK97" s="1028"/>
      <c r="AL97" s="1028"/>
      <c r="AM97" s="1028"/>
      <c r="AN97" s="1148"/>
      <c r="AO97" s="1148"/>
      <c r="AP97" s="1148"/>
      <c r="AU97" s="1148"/>
      <c r="AV97" s="1148"/>
      <c r="AW97" s="1148"/>
    </row>
    <row r="98" spans="1:49" ht="13.15" customHeight="1">
      <c r="A98" s="216"/>
      <c r="B98" s="162" t="s">
        <v>356</v>
      </c>
      <c r="C98" s="162" t="s">
        <v>185</v>
      </c>
      <c r="D98" s="227">
        <f t="shared" ref="D98:R98" si="32">D96/(1+D12)</f>
        <v>0.42862099999999997</v>
      </c>
      <c r="E98" s="157">
        <f t="shared" si="32"/>
        <v>0.41687709999999994</v>
      </c>
      <c r="F98" s="158">
        <f t="shared" si="32"/>
        <v>0.44469862500000001</v>
      </c>
      <c r="G98" s="227">
        <f t="shared" si="32"/>
        <v>0.51434519999999995</v>
      </c>
      <c r="H98" s="157">
        <f t="shared" si="32"/>
        <v>0.49877742499999994</v>
      </c>
      <c r="I98" s="158">
        <f t="shared" si="32"/>
        <v>0.53152750000000004</v>
      </c>
      <c r="J98" s="227">
        <f t="shared" si="32"/>
        <v>0.51434519999999995</v>
      </c>
      <c r="K98" s="157">
        <f t="shared" si="32"/>
        <v>0.50464069999999994</v>
      </c>
      <c r="L98" s="158">
        <f t="shared" si="32"/>
        <v>0.52940312499999997</v>
      </c>
      <c r="M98" s="227">
        <f t="shared" si="32"/>
        <v>0.51434519999999995</v>
      </c>
      <c r="N98" s="157">
        <f t="shared" si="32"/>
        <v>0.50464069999999994</v>
      </c>
      <c r="O98" s="158">
        <f t="shared" si="32"/>
        <v>0.52940312499999997</v>
      </c>
      <c r="P98" s="227">
        <f t="shared" si="32"/>
        <v>0.51434519999999995</v>
      </c>
      <c r="Q98" s="157">
        <f t="shared" si="32"/>
        <v>0.50464069999999994</v>
      </c>
      <c r="R98" s="158">
        <f t="shared" si="32"/>
        <v>0.52940312499999997</v>
      </c>
      <c r="S98" s="1169"/>
      <c r="U98" s="1750"/>
      <c r="W98" s="1178"/>
      <c r="X98" s="1178"/>
      <c r="Y98" s="1750"/>
      <c r="Z98" s="1750"/>
      <c r="AA98" s="1148"/>
      <c r="AB98" s="1178"/>
      <c r="AC98" s="1178"/>
      <c r="AD98" s="1178"/>
      <c r="AE98" s="1178"/>
      <c r="AF98" s="1178"/>
      <c r="AG98" s="1750"/>
      <c r="AH98" s="1750"/>
      <c r="AI98" s="1029"/>
      <c r="AJ98" s="1029"/>
      <c r="AK98" s="1029"/>
      <c r="AL98" s="1029"/>
      <c r="AM98" s="1029"/>
      <c r="AN98" s="1148"/>
      <c r="AO98" s="1148"/>
      <c r="AP98" s="1148"/>
      <c r="AU98" s="1148"/>
      <c r="AV98" s="1148"/>
      <c r="AW98" s="1148"/>
    </row>
    <row r="99" spans="1:49">
      <c r="A99" s="216"/>
      <c r="B99" s="165"/>
      <c r="C99" s="167" t="s">
        <v>185</v>
      </c>
      <c r="D99" s="228">
        <f t="shared" ref="D99:R99" si="33">D97/(1+D12)</f>
        <v>0.45005204999999998</v>
      </c>
      <c r="E99" s="163">
        <f t="shared" si="33"/>
        <v>0.43881799999999999</v>
      </c>
      <c r="F99" s="164">
        <f t="shared" si="33"/>
        <v>0.46587475000000006</v>
      </c>
      <c r="G99" s="228">
        <f t="shared" si="33"/>
        <v>0.51434519999999995</v>
      </c>
      <c r="H99" s="163">
        <f t="shared" si="33"/>
        <v>0.49877742499999994</v>
      </c>
      <c r="I99" s="164">
        <f t="shared" si="33"/>
        <v>0.53152750000000004</v>
      </c>
      <c r="J99" s="228">
        <f t="shared" si="33"/>
        <v>0.51434519999999995</v>
      </c>
      <c r="K99" s="163">
        <f t="shared" si="33"/>
        <v>0.50464069999999994</v>
      </c>
      <c r="L99" s="164">
        <f t="shared" si="33"/>
        <v>0.52940312499999997</v>
      </c>
      <c r="M99" s="228">
        <f t="shared" si="33"/>
        <v>0.53577624999999995</v>
      </c>
      <c r="N99" s="163">
        <f t="shared" si="33"/>
        <v>0.52658159999999998</v>
      </c>
      <c r="O99" s="164">
        <f t="shared" si="33"/>
        <v>0.55057924999999996</v>
      </c>
      <c r="P99" s="228">
        <f t="shared" si="33"/>
        <v>0.53577624999999995</v>
      </c>
      <c r="Q99" s="163">
        <f t="shared" si="33"/>
        <v>0.52658159999999998</v>
      </c>
      <c r="R99" s="164">
        <f t="shared" si="33"/>
        <v>0.55057924999999996</v>
      </c>
      <c r="S99" s="1169"/>
      <c r="W99" s="1178"/>
      <c r="X99" s="1178"/>
      <c r="Y99" s="1750"/>
      <c r="Z99" s="1750"/>
      <c r="AA99" s="1148"/>
      <c r="AB99" s="1178"/>
      <c r="AC99" s="1178"/>
      <c r="AD99" s="1178"/>
      <c r="AE99" s="1178"/>
      <c r="AF99" s="1178"/>
      <c r="AG99" s="1750"/>
      <c r="AH99" s="1750"/>
      <c r="AI99" s="1029"/>
      <c r="AJ99" s="1029"/>
      <c r="AK99" s="1029"/>
      <c r="AL99" s="1029"/>
      <c r="AM99" s="1029"/>
      <c r="AN99" s="1148"/>
      <c r="AO99" s="1148"/>
      <c r="AP99" s="1148"/>
      <c r="AU99" s="1148"/>
      <c r="AV99" s="1148"/>
      <c r="AW99" s="1148"/>
    </row>
    <row r="100" spans="1:49">
      <c r="A100" s="216"/>
      <c r="B100" s="126"/>
      <c r="C100" s="126"/>
      <c r="D100" s="48"/>
      <c r="E100" s="48"/>
      <c r="F100" s="48"/>
      <c r="G100" s="49"/>
      <c r="H100" s="67"/>
      <c r="I100" s="67"/>
      <c r="J100" s="48"/>
      <c r="K100" s="67"/>
      <c r="L100" s="67"/>
      <c r="M100" s="49"/>
      <c r="N100" s="67"/>
      <c r="O100" s="67"/>
      <c r="P100" s="49"/>
      <c r="Q100" s="67"/>
      <c r="R100" s="415" t="s">
        <v>355</v>
      </c>
      <c r="U100" s="1751"/>
      <c r="W100" s="1341"/>
      <c r="X100" s="1341"/>
      <c r="Y100" s="1751"/>
      <c r="Z100" s="1751"/>
      <c r="AA100" s="1177"/>
      <c r="AB100" s="1178"/>
      <c r="AC100" s="1178"/>
      <c r="AD100" s="1178"/>
      <c r="AE100" s="1178"/>
      <c r="AF100" s="1178"/>
      <c r="AG100" s="1750"/>
      <c r="AH100" s="1750"/>
      <c r="AN100" s="1148"/>
      <c r="AO100" s="1148"/>
      <c r="AP100" s="1148"/>
      <c r="AU100" s="1148"/>
      <c r="AV100" s="1148"/>
      <c r="AW100" s="1148"/>
    </row>
    <row r="101" spans="1:49">
      <c r="A101" s="216"/>
      <c r="B101" s="582" t="s">
        <v>608</v>
      </c>
      <c r="C101" s="583"/>
      <c r="D101" s="599" t="s">
        <v>151</v>
      </c>
      <c r="E101" s="494" t="s">
        <v>152</v>
      </c>
      <c r="F101" s="495" t="s">
        <v>153</v>
      </c>
      <c r="G101" s="496" t="s">
        <v>154</v>
      </c>
      <c r="H101" s="495" t="s">
        <v>155</v>
      </c>
      <c r="I101" s="495" t="s">
        <v>156</v>
      </c>
      <c r="J101" s="496" t="s">
        <v>157</v>
      </c>
      <c r="K101" s="495" t="s">
        <v>158</v>
      </c>
      <c r="L101" s="487" t="s">
        <v>159</v>
      </c>
      <c r="M101" s="495" t="s">
        <v>160</v>
      </c>
      <c r="N101" s="495" t="s">
        <v>161</v>
      </c>
      <c r="O101" s="495" t="s">
        <v>162</v>
      </c>
      <c r="P101" s="495" t="s">
        <v>163</v>
      </c>
      <c r="Q101" s="589" t="s">
        <v>164</v>
      </c>
      <c r="R101" s="67"/>
      <c r="W101" s="1341"/>
      <c r="X101" s="1341"/>
      <c r="Y101" s="1751"/>
      <c r="Z101" s="1751"/>
      <c r="AA101" s="1177"/>
      <c r="AB101" s="1178"/>
      <c r="AC101" s="1178"/>
      <c r="AD101" s="1178"/>
      <c r="AE101" s="1178"/>
      <c r="AF101" s="1178"/>
      <c r="AG101" s="1750"/>
      <c r="AH101" s="1750"/>
      <c r="AN101" s="1148"/>
      <c r="AO101" s="1148"/>
      <c r="AP101" s="1148"/>
      <c r="AU101" s="1148"/>
      <c r="AV101" s="1148"/>
      <c r="AW101" s="1148"/>
    </row>
    <row r="102" spans="1:49">
      <c r="A102" s="216"/>
      <c r="B102" s="48"/>
      <c r="C102" s="593" t="s">
        <v>139</v>
      </c>
      <c r="D102" s="590">
        <v>1</v>
      </c>
      <c r="E102" s="932">
        <f t="shared" ref="E102:Q102" si="34">E116/E$115/2*(1+E68/100)^E$115</f>
        <v>4.5492018210875596E-4</v>
      </c>
      <c r="F102" s="933">
        <f t="shared" si="34"/>
        <v>5.4161406125042286E-4</v>
      </c>
      <c r="G102" s="934">
        <f t="shared" si="34"/>
        <v>6.1408214538861668E-4</v>
      </c>
      <c r="H102" s="933">
        <f t="shared" si="34"/>
        <v>7.238631924535462E-4</v>
      </c>
      <c r="I102" s="933">
        <f t="shared" si="34"/>
        <v>8.7781015325403167E-4</v>
      </c>
      <c r="J102" s="934">
        <f t="shared" si="34"/>
        <v>1.0445306432282885E-3</v>
      </c>
      <c r="K102" s="933">
        <f t="shared" si="34"/>
        <v>1.1790148265631189E-3</v>
      </c>
      <c r="L102" s="935">
        <f t="shared" si="34"/>
        <v>1.2899819238847323E-3</v>
      </c>
      <c r="M102" s="933">
        <f t="shared" si="34"/>
        <v>1.3728771702508581E-3</v>
      </c>
      <c r="N102" s="933">
        <f t="shared" si="34"/>
        <v>1.422804224432388E-3</v>
      </c>
      <c r="O102" s="933">
        <f t="shared" si="34"/>
        <v>1.5033501046686378E-3</v>
      </c>
      <c r="P102" s="933">
        <f t="shared" si="34"/>
        <v>1.6252308574524325E-3</v>
      </c>
      <c r="Q102" s="936">
        <f t="shared" si="34"/>
        <v>1.7931845359714386E-3</v>
      </c>
      <c r="R102" s="67"/>
      <c r="W102" s="1341"/>
      <c r="X102" s="1341"/>
      <c r="Y102" s="1751"/>
      <c r="Z102" s="1751"/>
      <c r="AA102" s="1177"/>
      <c r="AB102" s="1178"/>
      <c r="AC102" s="1178"/>
      <c r="AD102" s="1178"/>
      <c r="AE102" s="1178"/>
      <c r="AF102" s="1178"/>
      <c r="AG102" s="1750"/>
      <c r="AH102" s="1750"/>
      <c r="AN102" s="1148"/>
      <c r="AO102" s="1148"/>
      <c r="AP102" s="1148"/>
      <c r="AU102" s="1148"/>
      <c r="AV102" s="1148"/>
      <c r="AW102" s="1148"/>
    </row>
    <row r="103" spans="1:49">
      <c r="A103" s="216"/>
      <c r="B103" s="48"/>
      <c r="C103" s="591" t="s">
        <v>143</v>
      </c>
      <c r="D103" s="590">
        <v>2</v>
      </c>
      <c r="E103" s="937">
        <f t="shared" ref="E103:Q103" si="35">E117/E$115/2*(1+E69/100)^E$115</f>
        <v>5.1180092573190419E-4</v>
      </c>
      <c r="F103" s="938">
        <f t="shared" si="35"/>
        <v>5.8448165790977373E-4</v>
      </c>
      <c r="G103" s="938">
        <f t="shared" si="35"/>
        <v>7.2320744102516194E-4</v>
      </c>
      <c r="H103" s="938">
        <f t="shared" si="35"/>
        <v>8.2972450225676244E-4</v>
      </c>
      <c r="I103" s="938">
        <f t="shared" si="35"/>
        <v>9.376333943659378E-4</v>
      </c>
      <c r="J103" s="938">
        <f t="shared" si="35"/>
        <v>1.0738023495036255E-3</v>
      </c>
      <c r="K103" s="938">
        <f t="shared" si="35"/>
        <v>1.1867028555202267E-3</v>
      </c>
      <c r="L103" s="939">
        <f t="shared" si="35"/>
        <v>1.2439973804007427E-3</v>
      </c>
      <c r="M103" s="938">
        <f t="shared" si="35"/>
        <v>1.3059562221831703E-3</v>
      </c>
      <c r="N103" s="938">
        <f t="shared" si="35"/>
        <v>1.4030091263763395E-3</v>
      </c>
      <c r="O103" s="938">
        <f t="shared" si="35"/>
        <v>1.5141363194727316E-3</v>
      </c>
      <c r="P103" s="938">
        <f t="shared" si="35"/>
        <v>1.6543851882133778E-3</v>
      </c>
      <c r="Q103" s="940">
        <f t="shared" si="35"/>
        <v>1.8768465162439319E-3</v>
      </c>
      <c r="R103" s="67"/>
      <c r="W103" s="1341"/>
      <c r="X103" s="1341"/>
      <c r="Y103" s="1751"/>
      <c r="Z103" s="1751"/>
      <c r="AA103" s="1177"/>
      <c r="AB103" s="1178"/>
      <c r="AC103" s="1178"/>
      <c r="AD103" s="1178"/>
      <c r="AE103" s="1178"/>
      <c r="AF103" s="1178"/>
      <c r="AG103" s="1750"/>
      <c r="AH103" s="1750"/>
      <c r="AN103" s="1148"/>
      <c r="AO103" s="1148"/>
      <c r="AP103" s="1148"/>
      <c r="AU103" s="1148"/>
      <c r="AV103" s="1148"/>
      <c r="AW103" s="1148"/>
    </row>
    <row r="104" spans="1:49">
      <c r="A104" s="216"/>
      <c r="B104" s="48"/>
      <c r="C104" s="591" t="s">
        <v>142</v>
      </c>
      <c r="D104" s="590">
        <v>3</v>
      </c>
      <c r="E104" s="941">
        <f t="shared" ref="E104:Q104" si="36">E118/E$115/2*(1+E70/100)^E$115</f>
        <v>6.7791612889613355E-4</v>
      </c>
      <c r="F104" s="938">
        <f t="shared" si="36"/>
        <v>7.5464247526250733E-4</v>
      </c>
      <c r="G104" s="942">
        <f t="shared" si="36"/>
        <v>8.5959971302027082E-4</v>
      </c>
      <c r="H104" s="938">
        <f t="shared" si="36"/>
        <v>9.4693513556761018E-4</v>
      </c>
      <c r="I104" s="938">
        <f t="shared" si="36"/>
        <v>1.0187079316837915E-3</v>
      </c>
      <c r="J104" s="942">
        <f t="shared" si="36"/>
        <v>1.0467581078829893E-3</v>
      </c>
      <c r="K104" s="938">
        <f t="shared" si="36"/>
        <v>1.0672996444817057E-3</v>
      </c>
      <c r="L104" s="943">
        <f t="shared" si="36"/>
        <v>1.130928362305605E-3</v>
      </c>
      <c r="M104" s="938">
        <f t="shared" si="36"/>
        <v>1.2414265608359746E-3</v>
      </c>
      <c r="N104" s="938">
        <f t="shared" si="36"/>
        <v>1.4257197721228793E-3</v>
      </c>
      <c r="O104" s="938">
        <f t="shared" si="36"/>
        <v>1.6490746619026587E-3</v>
      </c>
      <c r="P104" s="938">
        <f t="shared" si="36"/>
        <v>1.8779575986040071E-3</v>
      </c>
      <c r="Q104" s="944">
        <f t="shared" si="36"/>
        <v>2.1829943711964132E-3</v>
      </c>
      <c r="R104" s="67"/>
      <c r="W104" s="1341"/>
      <c r="X104" s="1341"/>
      <c r="Y104" s="1751"/>
      <c r="Z104" s="1751"/>
      <c r="AA104" s="1177"/>
      <c r="AB104" s="1178"/>
      <c r="AC104" s="1178"/>
      <c r="AD104" s="1178"/>
      <c r="AE104" s="1178"/>
      <c r="AF104" s="1178"/>
      <c r="AG104" s="1750"/>
      <c r="AH104" s="1750"/>
      <c r="AN104" s="1148"/>
      <c r="AO104" s="1148"/>
      <c r="AP104" s="1148"/>
      <c r="AU104" s="1148"/>
      <c r="AV104" s="1148"/>
      <c r="AW104" s="1148"/>
    </row>
    <row r="105" spans="1:49">
      <c r="A105" s="216"/>
      <c r="B105" s="48"/>
      <c r="C105" s="591" t="s">
        <v>140</v>
      </c>
      <c r="D105" s="590">
        <v>4</v>
      </c>
      <c r="E105" s="941">
        <f t="shared" ref="E105:L112" si="37">E119/E$115/2*(1+E71/100)^E$115</f>
        <v>9.5793175646526237E-4</v>
      </c>
      <c r="F105" s="938">
        <f t="shared" si="37"/>
        <v>1.2335551203949096E-3</v>
      </c>
      <c r="G105" s="942">
        <f t="shared" si="37"/>
        <v>1.4019107884538668E-3</v>
      </c>
      <c r="H105" s="938">
        <f t="shared" si="37"/>
        <v>1.5856543109114222E-3</v>
      </c>
      <c r="I105" s="938">
        <f t="shared" si="37"/>
        <v>1.7146936162305915E-3</v>
      </c>
      <c r="J105" s="942">
        <f t="shared" si="37"/>
        <v>1.8246760752202941E-3</v>
      </c>
      <c r="K105" s="938">
        <f t="shared" si="37"/>
        <v>1.9892018555597714E-3</v>
      </c>
      <c r="L105" s="943">
        <f t="shared" si="37"/>
        <v>2.2211341555311761E-3</v>
      </c>
      <c r="M105" s="938" t="s">
        <v>165</v>
      </c>
      <c r="N105" s="938" t="s">
        <v>165</v>
      </c>
      <c r="O105" s="938" t="s">
        <v>165</v>
      </c>
      <c r="P105" s="938" t="s">
        <v>165</v>
      </c>
      <c r="Q105" s="944" t="s">
        <v>165</v>
      </c>
      <c r="R105" s="67"/>
      <c r="U105" s="1328"/>
      <c r="W105" s="1341"/>
      <c r="X105" s="1341"/>
      <c r="Y105" s="1751"/>
      <c r="Z105" s="1751"/>
      <c r="AA105" s="1177"/>
      <c r="AB105" s="1178"/>
      <c r="AC105" s="1178"/>
      <c r="AD105" s="1178"/>
      <c r="AE105" s="1178"/>
      <c r="AF105" s="1178"/>
      <c r="AG105" s="1750"/>
      <c r="AH105" s="1750"/>
      <c r="AN105" s="1148"/>
      <c r="AO105" s="1148"/>
      <c r="AP105" s="1148"/>
      <c r="AU105" s="1148"/>
      <c r="AV105" s="1148"/>
      <c r="AW105" s="1148"/>
    </row>
    <row r="106" spans="1:49">
      <c r="A106" s="216"/>
      <c r="B106" s="48"/>
      <c r="C106" s="591" t="s">
        <v>171</v>
      </c>
      <c r="D106" s="590">
        <v>5</v>
      </c>
      <c r="E106" s="941">
        <f t="shared" si="37"/>
        <v>1.5313670832931532E-3</v>
      </c>
      <c r="F106" s="938">
        <f t="shared" si="37"/>
        <v>1.7281049079051016E-3</v>
      </c>
      <c r="G106" s="942">
        <f t="shared" si="37"/>
        <v>2.0565280185123806E-3</v>
      </c>
      <c r="H106" s="938">
        <f t="shared" si="37"/>
        <v>2.3182153175127177E-3</v>
      </c>
      <c r="I106" s="938">
        <f t="shared" si="37"/>
        <v>2.5658696095001055E-3</v>
      </c>
      <c r="J106" s="942">
        <f t="shared" si="37"/>
        <v>2.9157446930635563E-3</v>
      </c>
      <c r="K106" s="938">
        <f t="shared" si="37"/>
        <v>3.1812448725767042E-3</v>
      </c>
      <c r="L106" s="943">
        <f t="shared" si="37"/>
        <v>3.4597270948533063E-3</v>
      </c>
      <c r="M106" s="938" t="s">
        <v>165</v>
      </c>
      <c r="N106" s="938" t="s">
        <v>165</v>
      </c>
      <c r="O106" s="938" t="s">
        <v>165</v>
      </c>
      <c r="P106" s="938" t="s">
        <v>165</v>
      </c>
      <c r="Q106" s="944" t="s">
        <v>165</v>
      </c>
      <c r="R106" s="67"/>
      <c r="U106" s="1328"/>
      <c r="W106" s="1341"/>
      <c r="X106" s="1341"/>
      <c r="Y106" s="1751"/>
      <c r="Z106" s="1751"/>
      <c r="AA106" s="1177"/>
      <c r="AB106" s="1178"/>
      <c r="AC106" s="1178"/>
      <c r="AD106" s="1178"/>
      <c r="AE106" s="1178"/>
      <c r="AF106" s="1178"/>
      <c r="AG106" s="1750"/>
      <c r="AH106" s="1750"/>
      <c r="AN106" s="1148"/>
      <c r="AO106" s="1148"/>
      <c r="AP106" s="1148"/>
      <c r="AU106" s="1148"/>
      <c r="AV106" s="1148"/>
      <c r="AW106" s="1148"/>
    </row>
    <row r="107" spans="1:49">
      <c r="A107" s="216"/>
      <c r="B107" s="48"/>
      <c r="C107" s="591" t="s">
        <v>148</v>
      </c>
      <c r="D107" s="590">
        <v>6</v>
      </c>
      <c r="E107" s="937">
        <f t="shared" si="37"/>
        <v>4.0024066842001427E-3</v>
      </c>
      <c r="F107" s="938">
        <f t="shared" si="37"/>
        <v>4.8388593722871178E-3</v>
      </c>
      <c r="G107" s="938">
        <f t="shared" si="37"/>
        <v>5.4812632502066619E-3</v>
      </c>
      <c r="H107" s="938">
        <f t="shared" si="37"/>
        <v>6.1492770693478537E-3</v>
      </c>
      <c r="I107" s="938">
        <f t="shared" si="37"/>
        <v>6.5759973911184207E-3</v>
      </c>
      <c r="J107" s="938">
        <f t="shared" si="37"/>
        <v>6.8465900340614044E-3</v>
      </c>
      <c r="K107" s="938">
        <f t="shared" si="37"/>
        <v>7.0807384528542225E-3</v>
      </c>
      <c r="L107" s="939">
        <f t="shared" si="37"/>
        <v>7.4450609405453195E-3</v>
      </c>
      <c r="M107" s="938" t="s">
        <v>165</v>
      </c>
      <c r="N107" s="938" t="s">
        <v>165</v>
      </c>
      <c r="O107" s="938" t="s">
        <v>165</v>
      </c>
      <c r="P107" s="938" t="s">
        <v>165</v>
      </c>
      <c r="Q107" s="944" t="s">
        <v>165</v>
      </c>
      <c r="R107" s="67"/>
      <c r="U107" s="1328"/>
      <c r="W107" s="1341"/>
      <c r="X107" s="1341"/>
      <c r="Y107" s="1751"/>
      <c r="Z107" s="1751"/>
      <c r="AA107" s="1177"/>
      <c r="AB107" s="1178"/>
      <c r="AC107" s="1178"/>
      <c r="AD107" s="1178"/>
      <c r="AE107" s="1178"/>
      <c r="AF107" s="1178"/>
      <c r="AG107" s="1750"/>
      <c r="AH107" s="1750"/>
      <c r="AN107" s="1148"/>
      <c r="AO107" s="1148"/>
      <c r="AP107" s="1148"/>
      <c r="AU107" s="1148"/>
      <c r="AV107" s="1148"/>
      <c r="AW107" s="1148"/>
    </row>
    <row r="108" spans="1:49">
      <c r="A108" s="216"/>
      <c r="B108" s="48"/>
      <c r="C108" s="591" t="s">
        <v>349</v>
      </c>
      <c r="D108" s="590">
        <v>7</v>
      </c>
      <c r="E108" s="941">
        <f t="shared" si="37"/>
        <v>4.4881984258743641E-3</v>
      </c>
      <c r="F108" s="938">
        <f t="shared" si="37"/>
        <v>5.361980093444566E-3</v>
      </c>
      <c r="G108" s="942">
        <f t="shared" si="37"/>
        <v>6.0055181016148733E-3</v>
      </c>
      <c r="H108" s="938">
        <f t="shared" si="37"/>
        <v>6.3515962156521126E-3</v>
      </c>
      <c r="I108" s="938">
        <f t="shared" si="37"/>
        <v>6.8020477627844115E-3</v>
      </c>
      <c r="J108" s="942">
        <f t="shared" si="37"/>
        <v>7.4673649422180239E-3</v>
      </c>
      <c r="K108" s="938">
        <f t="shared" si="37"/>
        <v>7.9892186622670981E-3</v>
      </c>
      <c r="L108" s="943">
        <f t="shared" si="37"/>
        <v>8.4971230347016709E-3</v>
      </c>
      <c r="M108" s="938" t="s">
        <v>165</v>
      </c>
      <c r="N108" s="938" t="s">
        <v>165</v>
      </c>
      <c r="O108" s="938" t="s">
        <v>165</v>
      </c>
      <c r="P108" s="938" t="s">
        <v>165</v>
      </c>
      <c r="Q108" s="944" t="s">
        <v>165</v>
      </c>
      <c r="R108" s="67"/>
      <c r="U108" s="1328"/>
      <c r="V108" s="1751"/>
      <c r="W108" s="1341"/>
      <c r="X108" s="1341"/>
      <c r="Y108" s="1751"/>
      <c r="Z108" s="1751"/>
      <c r="AA108" s="1177"/>
      <c r="AB108" s="1178"/>
      <c r="AC108" s="1178"/>
      <c r="AD108" s="1178"/>
      <c r="AE108" s="1178"/>
      <c r="AF108" s="1178"/>
      <c r="AG108" s="1750"/>
      <c r="AH108" s="1750"/>
      <c r="AN108" s="1148"/>
      <c r="AO108" s="1148"/>
      <c r="AP108" s="1148"/>
      <c r="AU108" s="1148"/>
      <c r="AV108" s="1148"/>
      <c r="AW108" s="1148"/>
    </row>
    <row r="109" spans="1:49">
      <c r="A109" s="216"/>
      <c r="B109" s="48"/>
      <c r="C109" s="1228" t="s">
        <v>149</v>
      </c>
      <c r="D109" s="590">
        <v>8</v>
      </c>
      <c r="E109" s="945">
        <f t="shared" si="37"/>
        <v>1.0329687735023253E-2</v>
      </c>
      <c r="F109" s="938">
        <f t="shared" si="37"/>
        <v>1.2172796239418401E-2</v>
      </c>
      <c r="G109" s="451">
        <f t="shared" si="37"/>
        <v>1.3331505936951579E-2</v>
      </c>
      <c r="H109" s="938">
        <f t="shared" si="37"/>
        <v>1.435529828109963E-2</v>
      </c>
      <c r="I109" s="938">
        <f t="shared" si="37"/>
        <v>1.5466061778854409E-2</v>
      </c>
      <c r="J109" s="451">
        <f t="shared" si="37"/>
        <v>1.6923639130248178E-2</v>
      </c>
      <c r="K109" s="938">
        <f t="shared" si="37"/>
        <v>1.6927825939423147E-2</v>
      </c>
      <c r="L109" s="946">
        <f t="shared" si="37"/>
        <v>1.9401047194048351E-2</v>
      </c>
      <c r="M109" s="938" t="s">
        <v>165</v>
      </c>
      <c r="N109" s="938" t="s">
        <v>165</v>
      </c>
      <c r="O109" s="938" t="s">
        <v>165</v>
      </c>
      <c r="P109" s="938" t="s">
        <v>165</v>
      </c>
      <c r="Q109" s="944" t="s">
        <v>165</v>
      </c>
      <c r="R109" s="67"/>
      <c r="T109" s="1750"/>
      <c r="U109" s="1175"/>
      <c r="V109" s="1750"/>
      <c r="W109" s="1178"/>
      <c r="X109" s="1178"/>
      <c r="Y109" s="1750"/>
      <c r="Z109" s="1750"/>
      <c r="AA109" s="1177"/>
      <c r="AB109" s="1178"/>
      <c r="AC109" s="1178"/>
      <c r="AD109" s="1178"/>
      <c r="AE109" s="1178"/>
      <c r="AF109" s="1178"/>
      <c r="AG109" s="1750"/>
      <c r="AH109" s="1750"/>
      <c r="AN109" s="1148"/>
      <c r="AO109" s="1148"/>
      <c r="AP109" s="1148"/>
      <c r="AU109" s="1148"/>
      <c r="AV109" s="1148"/>
      <c r="AW109" s="1148"/>
    </row>
    <row r="110" spans="1:49">
      <c r="A110" s="216"/>
      <c r="B110" s="48"/>
      <c r="C110" s="1228" t="s">
        <v>141</v>
      </c>
      <c r="D110" s="590">
        <v>9</v>
      </c>
      <c r="E110" s="945">
        <f t="shared" si="37"/>
        <v>1.3082856258473599E-2</v>
      </c>
      <c r="F110" s="938">
        <f t="shared" si="37"/>
        <v>1.4661613659679482E-2</v>
      </c>
      <c r="G110" s="451">
        <f t="shared" si="37"/>
        <v>1.6663672465174219E-2</v>
      </c>
      <c r="H110" s="938">
        <f t="shared" si="37"/>
        <v>1.8636355175215478E-2</v>
      </c>
      <c r="I110" s="938">
        <f t="shared" si="37"/>
        <v>2.1173872999780196E-2</v>
      </c>
      <c r="J110" s="451">
        <f t="shared" si="37"/>
        <v>2.3640901872180382E-2</v>
      </c>
      <c r="K110" s="938">
        <f t="shared" si="37"/>
        <v>2.1848099418926011E-2</v>
      </c>
      <c r="L110" s="946">
        <f t="shared" si="37"/>
        <v>2.7299007730087019E-2</v>
      </c>
      <c r="M110" s="938" t="s">
        <v>165</v>
      </c>
      <c r="N110" s="938" t="s">
        <v>165</v>
      </c>
      <c r="O110" s="938" t="s">
        <v>165</v>
      </c>
      <c r="P110" s="938" t="s">
        <v>165</v>
      </c>
      <c r="Q110" s="944" t="s">
        <v>165</v>
      </c>
      <c r="R110" s="67"/>
      <c r="T110" s="1750"/>
      <c r="U110" s="1175"/>
      <c r="V110" s="1750"/>
      <c r="W110" s="1178"/>
      <c r="X110" s="1178"/>
      <c r="Y110" s="1750"/>
      <c r="Z110" s="1750"/>
      <c r="AA110" s="1177"/>
      <c r="AB110" s="1178"/>
      <c r="AC110" s="1178"/>
      <c r="AD110" s="1178"/>
      <c r="AE110" s="1178"/>
      <c r="AF110" s="1178"/>
      <c r="AG110" s="1750"/>
      <c r="AH110" s="1750"/>
      <c r="AN110" s="1148"/>
      <c r="AO110" s="1148"/>
      <c r="AP110" s="1148"/>
      <c r="AU110" s="1148"/>
      <c r="AV110" s="1148"/>
      <c r="AW110" s="1148"/>
    </row>
    <row r="111" spans="1:49">
      <c r="A111" s="216"/>
      <c r="B111" s="48"/>
      <c r="C111" s="1228" t="s">
        <v>150</v>
      </c>
      <c r="D111" s="590">
        <v>10</v>
      </c>
      <c r="E111" s="945">
        <f t="shared" si="37"/>
        <v>1.7595839622799959E-2</v>
      </c>
      <c r="F111" s="938">
        <f t="shared" si="37"/>
        <v>1.9663552996937672E-2</v>
      </c>
      <c r="G111" s="451">
        <f t="shared" si="37"/>
        <v>2.1725814769883334E-2</v>
      </c>
      <c r="H111" s="938">
        <f t="shared" si="37"/>
        <v>2.375318389092854E-2</v>
      </c>
      <c r="I111" s="938">
        <f t="shared" si="37"/>
        <v>2.6113728397402163E-2</v>
      </c>
      <c r="J111" s="451">
        <f t="shared" si="37"/>
        <v>2.8855798685042917E-2</v>
      </c>
      <c r="K111" s="938">
        <f t="shared" si="37"/>
        <v>3.1073968220015801E-2</v>
      </c>
      <c r="L111" s="946">
        <f t="shared" si="37"/>
        <v>3.3205994871160882E-2</v>
      </c>
      <c r="M111" s="938" t="s">
        <v>165</v>
      </c>
      <c r="N111" s="938" t="s">
        <v>165</v>
      </c>
      <c r="O111" s="938" t="s">
        <v>165</v>
      </c>
      <c r="P111" s="938" t="s">
        <v>165</v>
      </c>
      <c r="Q111" s="944" t="s">
        <v>165</v>
      </c>
      <c r="R111" s="67"/>
      <c r="T111" s="1750"/>
      <c r="U111" s="1175"/>
      <c r="V111" s="1750"/>
      <c r="W111" s="1178"/>
      <c r="X111" s="1178"/>
      <c r="Y111" s="1750"/>
      <c r="Z111" s="1750"/>
      <c r="AA111" s="1177"/>
      <c r="AB111" s="1178"/>
      <c r="AC111" s="1178"/>
      <c r="AD111" s="1178"/>
      <c r="AE111" s="1178"/>
      <c r="AF111" s="1178"/>
      <c r="AG111" s="1750"/>
      <c r="AH111" s="1750"/>
      <c r="AN111" s="1148"/>
      <c r="AO111" s="1148"/>
      <c r="AP111" s="1148"/>
      <c r="AU111" s="1148"/>
      <c r="AV111" s="1148"/>
      <c r="AW111" s="1148"/>
    </row>
    <row r="112" spans="1:49">
      <c r="A112" s="216"/>
      <c r="B112" s="597"/>
      <c r="C112" s="1229" t="s">
        <v>166</v>
      </c>
      <c r="D112" s="600">
        <v>11</v>
      </c>
      <c r="E112" s="947">
        <f t="shared" si="37"/>
        <v>2.5808119022210061E-2</v>
      </c>
      <c r="F112" s="948">
        <f t="shared" si="37"/>
        <v>2.7986540276747761E-2</v>
      </c>
      <c r="G112" s="949">
        <f t="shared" si="37"/>
        <v>3.081739108963891E-2</v>
      </c>
      <c r="H112" s="948">
        <f t="shared" si="37"/>
        <v>3.3708234366607776E-2</v>
      </c>
      <c r="I112" s="948">
        <f t="shared" si="37"/>
        <v>3.6918235670558561E-2</v>
      </c>
      <c r="J112" s="949">
        <f t="shared" si="37"/>
        <v>4.0953656933842293E-2</v>
      </c>
      <c r="K112" s="948">
        <f t="shared" si="37"/>
        <v>4.3123090187404567E-2</v>
      </c>
      <c r="L112" s="950">
        <f t="shared" si="37"/>
        <v>4.5720665412897474E-2</v>
      </c>
      <c r="M112" s="948" t="s">
        <v>165</v>
      </c>
      <c r="N112" s="948" t="s">
        <v>165</v>
      </c>
      <c r="O112" s="948" t="s">
        <v>165</v>
      </c>
      <c r="P112" s="948" t="s">
        <v>165</v>
      </c>
      <c r="Q112" s="951" t="s">
        <v>165</v>
      </c>
      <c r="R112" s="67"/>
      <c r="T112" s="1750"/>
      <c r="U112" s="1175"/>
      <c r="V112" s="1750"/>
      <c r="W112" s="1178"/>
      <c r="X112" s="1178"/>
      <c r="Y112" s="1750"/>
      <c r="Z112" s="1750"/>
      <c r="AA112" s="1177"/>
      <c r="AB112" s="1178"/>
      <c r="AC112" s="1178"/>
      <c r="AD112" s="1178"/>
      <c r="AE112" s="1178"/>
      <c r="AF112" s="1178"/>
      <c r="AG112" s="1750"/>
      <c r="AH112" s="1750"/>
      <c r="AN112" s="1148"/>
      <c r="AO112" s="1148"/>
      <c r="AP112" s="1148"/>
      <c r="AU112" s="1148"/>
      <c r="AV112" s="1148"/>
      <c r="AW112" s="1148"/>
    </row>
    <row r="113" spans="1:49">
      <c r="A113" s="216"/>
      <c r="B113" s="615" t="s">
        <v>351</v>
      </c>
      <c r="C113" s="616" t="s">
        <v>349</v>
      </c>
      <c r="D113" s="617"/>
      <c r="E113" s="613">
        <f t="shared" ref="E113:L113" si="38">E74-E59</f>
        <v>2.9137000000000031</v>
      </c>
      <c r="F113" s="614">
        <f t="shared" si="38"/>
        <v>3.3541958598726125</v>
      </c>
      <c r="G113" s="614">
        <f t="shared" si="38"/>
        <v>3.794691719745221</v>
      </c>
      <c r="H113" s="614">
        <f t="shared" si="38"/>
        <v>3.9696668789808904</v>
      </c>
      <c r="I113" s="614">
        <f t="shared" si="38"/>
        <v>4.1446420382165599</v>
      </c>
      <c r="J113" s="614">
        <f t="shared" si="38"/>
        <v>4.3196171974522297</v>
      </c>
      <c r="K113" s="614">
        <f t="shared" si="38"/>
        <v>4.2168012738853502</v>
      </c>
      <c r="L113" s="610">
        <f t="shared" si="38"/>
        <v>4.1139853503184707</v>
      </c>
      <c r="M113" s="611" t="s">
        <v>165</v>
      </c>
      <c r="N113" s="611" t="s">
        <v>165</v>
      </c>
      <c r="O113" s="611" t="s">
        <v>165</v>
      </c>
      <c r="P113" s="611" t="s">
        <v>165</v>
      </c>
      <c r="Q113" s="612" t="s">
        <v>165</v>
      </c>
      <c r="R113" s="67"/>
      <c r="T113" s="1750"/>
      <c r="U113" s="1175"/>
      <c r="V113" s="1750"/>
      <c r="W113" s="1178"/>
      <c r="X113" s="1178"/>
      <c r="Y113" s="1750"/>
      <c r="Z113" s="1750"/>
      <c r="AA113" s="1177"/>
      <c r="AB113" s="1178"/>
      <c r="AC113" s="1178"/>
      <c r="AD113" s="1178"/>
      <c r="AE113" s="1178"/>
      <c r="AF113" s="1178"/>
      <c r="AG113" s="1750"/>
      <c r="AH113" s="1750"/>
      <c r="AN113" s="1148"/>
      <c r="AO113" s="1148"/>
      <c r="AP113" s="1148"/>
      <c r="AU113" s="1148"/>
      <c r="AV113" s="1148"/>
      <c r="AW113" s="1148"/>
    </row>
    <row r="114" spans="1:49">
      <c r="A114" s="215"/>
      <c r="B114" s="229" t="s">
        <v>358</v>
      </c>
      <c r="C114" s="192"/>
      <c r="D114" s="189"/>
      <c r="E114" s="161"/>
      <c r="F114" s="161"/>
      <c r="G114" s="178"/>
      <c r="H114" s="161"/>
      <c r="I114" s="161"/>
      <c r="J114" s="160"/>
      <c r="K114" s="161"/>
      <c r="L114" s="161"/>
      <c r="M114" s="178"/>
      <c r="N114" s="161"/>
      <c r="O114" s="161"/>
      <c r="P114" s="178"/>
      <c r="Q114" s="161"/>
      <c r="R114" s="161"/>
      <c r="T114" s="1750"/>
      <c r="U114" s="1175"/>
      <c r="V114" s="1750"/>
      <c r="W114" s="1178"/>
      <c r="X114" s="1178"/>
      <c r="Y114" s="1750"/>
      <c r="Z114" s="1750"/>
      <c r="AA114" s="1177"/>
      <c r="AB114" s="1178"/>
      <c r="AC114" s="1178"/>
      <c r="AD114" s="1178"/>
      <c r="AE114" s="1178"/>
      <c r="AF114" s="1178"/>
      <c r="AG114" s="1750"/>
      <c r="AH114" s="1750"/>
      <c r="AN114" s="1148"/>
      <c r="AO114" s="1148"/>
      <c r="AP114" s="1148"/>
      <c r="AU114" s="1148"/>
      <c r="AV114" s="1148"/>
      <c r="AW114" s="1148"/>
    </row>
    <row r="115" spans="1:49" ht="13.5" thickBot="1">
      <c r="A115" s="216"/>
      <c r="B115" s="579" t="s">
        <v>354</v>
      </c>
      <c r="C115" s="580"/>
      <c r="D115" s="160"/>
      <c r="E115" s="584">
        <v>3</v>
      </c>
      <c r="F115" s="585">
        <v>4</v>
      </c>
      <c r="G115" s="585">
        <v>5</v>
      </c>
      <c r="H115" s="585">
        <v>6</v>
      </c>
      <c r="I115" s="585">
        <v>7</v>
      </c>
      <c r="J115" s="585">
        <v>8</v>
      </c>
      <c r="K115" s="585">
        <v>9</v>
      </c>
      <c r="L115" s="581">
        <v>10</v>
      </c>
      <c r="M115" s="585">
        <v>11</v>
      </c>
      <c r="N115" s="585">
        <v>12</v>
      </c>
      <c r="O115" s="585">
        <v>13</v>
      </c>
      <c r="P115" s="585">
        <v>14</v>
      </c>
      <c r="Q115" s="586">
        <v>15</v>
      </c>
      <c r="R115" s="607" t="s">
        <v>611</v>
      </c>
      <c r="V115" s="1750"/>
      <c r="W115" s="1178"/>
      <c r="X115" s="1178"/>
      <c r="Y115" s="1750"/>
      <c r="Z115" s="1750"/>
      <c r="AA115" s="1177"/>
      <c r="AB115" s="1178"/>
      <c r="AC115" s="1178"/>
      <c r="AD115" s="1178"/>
      <c r="AE115" s="1178"/>
      <c r="AF115" s="1178"/>
      <c r="AG115" s="1750"/>
      <c r="AH115" s="1750"/>
      <c r="AN115" s="1148"/>
      <c r="AO115" s="1148"/>
      <c r="AP115" s="1148"/>
      <c r="AU115" s="1148"/>
      <c r="AV115" s="1148"/>
      <c r="AW115" s="1148"/>
    </row>
    <row r="116" spans="1:49">
      <c r="A116" s="216"/>
      <c r="B116" s="160"/>
      <c r="C116" s="594" t="s">
        <v>139</v>
      </c>
      <c r="D116" s="160"/>
      <c r="E116" s="952">
        <v>2.5619999999999996E-3</v>
      </c>
      <c r="F116" s="953">
        <v>3.9420000000000002E-3</v>
      </c>
      <c r="G116" s="953">
        <v>5.3879999999999996E-3</v>
      </c>
      <c r="H116" s="953">
        <v>7.3199999999999993E-3</v>
      </c>
      <c r="I116" s="953">
        <v>9.9000000000000008E-3</v>
      </c>
      <c r="J116" s="953">
        <v>1.2809999999999998E-2</v>
      </c>
      <c r="K116" s="953">
        <v>1.5521999999999999E-2</v>
      </c>
      <c r="L116" s="954">
        <v>1.7951999999999999E-2</v>
      </c>
      <c r="M116" s="953">
        <v>1.9980000000000001E-2</v>
      </c>
      <c r="N116" s="953">
        <v>2.1419999999999998E-2</v>
      </c>
      <c r="O116" s="953">
        <v>2.3190000000000002E-2</v>
      </c>
      <c r="P116" s="953">
        <v>2.547E-2</v>
      </c>
      <c r="Q116" s="964">
        <v>2.8332000000000003E-2</v>
      </c>
      <c r="R116" s="639">
        <v>0.85</v>
      </c>
      <c r="V116" s="1750"/>
      <c r="W116" s="1178"/>
      <c r="X116" s="1178"/>
      <c r="Y116" s="1750"/>
      <c r="Z116" s="1750"/>
      <c r="AA116" s="1177"/>
      <c r="AB116" s="1178"/>
      <c r="AC116" s="1178"/>
      <c r="AD116" s="1178"/>
      <c r="AE116" s="1178"/>
      <c r="AF116" s="1178"/>
      <c r="AG116" s="1750"/>
      <c r="AH116" s="1750"/>
      <c r="AN116" s="1148"/>
      <c r="AO116" s="1148"/>
      <c r="AP116" s="1148"/>
      <c r="AU116" s="1148"/>
      <c r="AV116" s="1148"/>
      <c r="AW116" s="1148"/>
    </row>
    <row r="117" spans="1:49">
      <c r="A117" s="216"/>
      <c r="B117" s="160"/>
      <c r="C117" s="595" t="s">
        <v>143</v>
      </c>
      <c r="D117" s="160"/>
      <c r="E117" s="955">
        <v>2.8679999999999995E-3</v>
      </c>
      <c r="F117" s="956">
        <v>4.2179999999999995E-3</v>
      </c>
      <c r="G117" s="956">
        <v>6.2639999999999996E-3</v>
      </c>
      <c r="H117" s="956">
        <v>8.2740000000000001E-3</v>
      </c>
      <c r="I117" s="956">
        <v>1.0421999999999999E-2</v>
      </c>
      <c r="J117" s="956">
        <v>1.2977999999999998E-2</v>
      </c>
      <c r="K117" s="956">
        <v>1.5377999999999999E-2</v>
      </c>
      <c r="L117" s="957">
        <v>1.7022000000000002E-2</v>
      </c>
      <c r="M117" s="956">
        <v>1.8641999999999999E-2</v>
      </c>
      <c r="N117" s="956">
        <v>2.0663999999999998E-2</v>
      </c>
      <c r="O117" s="956">
        <v>2.2787999999999999E-2</v>
      </c>
      <c r="P117" s="956">
        <v>2.5223999999999996E-2</v>
      </c>
      <c r="Q117" s="965">
        <v>2.8763999999999998E-2</v>
      </c>
      <c r="R117" s="640">
        <v>0.85</v>
      </c>
      <c r="V117" s="1750"/>
      <c r="W117" s="1178"/>
      <c r="X117" s="1178"/>
      <c r="Y117" s="1750"/>
      <c r="Z117" s="1750"/>
      <c r="AA117" s="1177"/>
      <c r="AB117" s="1178"/>
      <c r="AC117" s="1178"/>
      <c r="AD117" s="1178"/>
      <c r="AE117" s="1178"/>
      <c r="AF117" s="1178"/>
      <c r="AG117" s="1750"/>
      <c r="AH117" s="1750"/>
      <c r="AN117" s="1148"/>
      <c r="AO117" s="1148"/>
      <c r="AP117" s="1148"/>
      <c r="AU117" s="1148"/>
      <c r="AV117" s="1148"/>
      <c r="AW117" s="1148"/>
    </row>
    <row r="118" spans="1:49">
      <c r="A118" s="216"/>
      <c r="B118" s="160"/>
      <c r="C118" s="595" t="s">
        <v>142</v>
      </c>
      <c r="D118" s="160"/>
      <c r="E118" s="955">
        <v>3.7799999999999999E-3</v>
      </c>
      <c r="F118" s="956">
        <v>5.4000000000000003E-3</v>
      </c>
      <c r="G118" s="956">
        <v>7.3499999999999998E-3</v>
      </c>
      <c r="H118" s="956">
        <v>9.3120000000000008E-3</v>
      </c>
      <c r="I118" s="956">
        <v>1.1160000000000002E-2</v>
      </c>
      <c r="J118" s="956">
        <v>1.2468E-2</v>
      </c>
      <c r="K118" s="956">
        <v>1.3614000000000001E-2</v>
      </c>
      <c r="L118" s="957">
        <v>1.5216E-2</v>
      </c>
      <c r="M118" s="956">
        <v>1.7381999999999998E-2</v>
      </c>
      <c r="N118" s="956">
        <v>2.0544E-2</v>
      </c>
      <c r="O118" s="956">
        <v>2.4215999999999994E-2</v>
      </c>
      <c r="P118" s="956">
        <v>2.7857999999999997E-2</v>
      </c>
      <c r="Q118" s="965">
        <v>3.2453999999999997E-2</v>
      </c>
      <c r="R118" s="640">
        <v>0.85</v>
      </c>
      <c r="V118" s="1750"/>
      <c r="W118" s="1178"/>
      <c r="X118" s="1178"/>
      <c r="Y118" s="1750"/>
      <c r="Z118" s="1750"/>
      <c r="AA118" s="1177"/>
      <c r="AB118" s="1178"/>
      <c r="AC118" s="1178"/>
      <c r="AD118" s="1178"/>
      <c r="AE118" s="1178"/>
      <c r="AF118" s="1178"/>
      <c r="AG118" s="1750"/>
      <c r="AH118" s="1750"/>
      <c r="AN118" s="1148"/>
      <c r="AO118" s="1148"/>
      <c r="AP118" s="1148"/>
      <c r="AU118" s="1148"/>
      <c r="AV118" s="1148"/>
      <c r="AW118" s="1148"/>
    </row>
    <row r="119" spans="1:49">
      <c r="A119" s="216"/>
      <c r="B119" s="160"/>
      <c r="C119" s="595" t="s">
        <v>140</v>
      </c>
      <c r="D119" s="160"/>
      <c r="E119" s="955">
        <v>5.2979999999999998E-3</v>
      </c>
      <c r="F119" s="956">
        <v>8.7299999999999999E-3</v>
      </c>
      <c r="G119" s="956">
        <v>1.1819999999999999E-2</v>
      </c>
      <c r="H119" s="956">
        <v>1.5347999999999999E-2</v>
      </c>
      <c r="I119" s="956">
        <v>1.8461999999999999E-2</v>
      </c>
      <c r="J119" s="956">
        <v>2.1336000000000001E-2</v>
      </c>
      <c r="K119" s="956">
        <v>2.4839999999999997E-2</v>
      </c>
      <c r="L119" s="957">
        <v>2.9172E-2</v>
      </c>
      <c r="M119" s="958">
        <v>3.4661999999999998E-2</v>
      </c>
      <c r="N119" s="958">
        <v>4.0422E-2</v>
      </c>
      <c r="O119" s="958">
        <v>4.5725999999999996E-2</v>
      </c>
      <c r="P119" s="958">
        <v>5.0802000000000007E-2</v>
      </c>
      <c r="Q119" s="966">
        <v>5.5878000000000004E-2</v>
      </c>
      <c r="R119" s="640">
        <v>0.85</v>
      </c>
      <c r="U119" s="1757"/>
      <c r="V119" s="1750"/>
      <c r="W119" s="1178"/>
      <c r="X119" s="1178"/>
      <c r="Y119" s="1750"/>
      <c r="Z119" s="1750"/>
      <c r="AA119" s="1177"/>
      <c r="AB119" s="1178"/>
      <c r="AC119" s="1178"/>
      <c r="AD119" s="1178"/>
      <c r="AE119" s="1178"/>
      <c r="AF119" s="1178"/>
      <c r="AG119" s="1750"/>
      <c r="AH119" s="1750"/>
      <c r="AN119" s="1148"/>
      <c r="AO119" s="1148"/>
      <c r="AP119" s="1148"/>
      <c r="AU119" s="1148"/>
      <c r="AV119" s="1148"/>
      <c r="AW119" s="1148"/>
    </row>
    <row r="120" spans="1:49">
      <c r="A120" s="216"/>
      <c r="B120" s="160"/>
      <c r="C120" s="595" t="s">
        <v>171</v>
      </c>
      <c r="D120" s="160"/>
      <c r="E120" s="955">
        <v>8.375999999999998E-3</v>
      </c>
      <c r="F120" s="956">
        <v>1.2018000000000001E-2</v>
      </c>
      <c r="G120" s="956">
        <v>1.6907999999999999E-2</v>
      </c>
      <c r="H120" s="956">
        <v>2.1677999999999999E-2</v>
      </c>
      <c r="I120" s="956">
        <v>2.6405999999999999E-2</v>
      </c>
      <c r="J120" s="956">
        <v>3.2195999999999995E-2</v>
      </c>
      <c r="K120" s="956">
        <v>3.7434000000000002E-2</v>
      </c>
      <c r="L120" s="957">
        <v>4.2773999999999993E-2</v>
      </c>
      <c r="M120" s="958">
        <v>4.7334000000000001E-2</v>
      </c>
      <c r="N120" s="958">
        <v>5.0345999999999995E-2</v>
      </c>
      <c r="O120" s="958">
        <v>5.6417999999999996E-2</v>
      </c>
      <c r="P120" s="958">
        <v>6.3420000000000004E-2</v>
      </c>
      <c r="Q120" s="966">
        <v>6.8748000000000004E-2</v>
      </c>
      <c r="R120" s="640">
        <v>0.85</v>
      </c>
      <c r="U120" s="1757"/>
      <c r="V120" s="1750"/>
      <c r="W120" s="1178"/>
      <c r="X120" s="1178"/>
      <c r="Y120" s="1750"/>
      <c r="Z120" s="1750"/>
      <c r="AA120" s="1177"/>
      <c r="AB120" s="1178"/>
      <c r="AC120" s="1178"/>
      <c r="AD120" s="1178"/>
      <c r="AE120" s="1178"/>
      <c r="AF120" s="1178"/>
      <c r="AG120" s="1750"/>
      <c r="AH120" s="1750"/>
      <c r="AN120" s="1148"/>
      <c r="AO120" s="1148"/>
      <c r="AP120" s="1148"/>
      <c r="AU120" s="1148"/>
      <c r="AV120" s="1148"/>
      <c r="AW120" s="1148"/>
    </row>
    <row r="121" spans="1:49">
      <c r="A121" s="216"/>
      <c r="B121" s="160"/>
      <c r="C121" s="595" t="s">
        <v>148</v>
      </c>
      <c r="D121" s="160"/>
      <c r="E121" s="955">
        <v>2.1588E-2</v>
      </c>
      <c r="F121" s="956">
        <v>3.288E-2</v>
      </c>
      <c r="G121" s="956">
        <v>4.3529999999999999E-2</v>
      </c>
      <c r="H121" s="956">
        <v>5.4965999999999994E-2</v>
      </c>
      <c r="I121" s="956">
        <v>6.3941999999999999E-2</v>
      </c>
      <c r="J121" s="956">
        <v>7.0523999999999989E-2</v>
      </c>
      <c r="K121" s="956">
        <v>7.7075999999999992E-2</v>
      </c>
      <c r="L121" s="957">
        <v>8.4444000000000005E-2</v>
      </c>
      <c r="M121" s="958">
        <v>9.2069999999999999E-2</v>
      </c>
      <c r="N121" s="958">
        <v>0.10167</v>
      </c>
      <c r="O121" s="958">
        <v>0.10829399999999999</v>
      </c>
      <c r="P121" s="958">
        <v>0.11388</v>
      </c>
      <c r="Q121" s="966">
        <v>0.12297000000000001</v>
      </c>
      <c r="R121" s="640">
        <v>0.75</v>
      </c>
      <c r="U121" s="1757"/>
      <c r="V121" s="1750"/>
      <c r="W121" s="1178"/>
      <c r="X121" s="1178"/>
      <c r="Y121" s="1750"/>
      <c r="Z121" s="1750"/>
      <c r="AA121" s="1177"/>
      <c r="AB121" s="1178"/>
      <c r="AC121" s="1178"/>
      <c r="AD121" s="1178"/>
      <c r="AE121" s="1178"/>
      <c r="AF121" s="1178"/>
      <c r="AG121" s="1750"/>
      <c r="AH121" s="1750"/>
      <c r="AN121" s="1148"/>
      <c r="AO121" s="1148"/>
      <c r="AP121" s="1148"/>
      <c r="AU121" s="1148"/>
      <c r="AV121" s="1148"/>
      <c r="AW121" s="1148"/>
    </row>
    <row r="122" spans="1:49">
      <c r="A122" s="216"/>
      <c r="B122" s="160"/>
      <c r="C122" s="595" t="s">
        <v>349</v>
      </c>
      <c r="D122" s="160"/>
      <c r="E122" s="955">
        <v>2.3873999999999999E-2</v>
      </c>
      <c r="F122" s="956">
        <v>3.5604000000000004E-2</v>
      </c>
      <c r="G122" s="956">
        <v>4.6079999999999996E-2</v>
      </c>
      <c r="H122" s="956">
        <v>5.4288000000000003E-2</v>
      </c>
      <c r="I122" s="956">
        <v>6.2519999999999992E-2</v>
      </c>
      <c r="J122" s="956">
        <v>7.1795999999999985E-2</v>
      </c>
      <c r="K122" s="956">
        <v>8.0502000000000004E-2</v>
      </c>
      <c r="L122" s="957">
        <v>8.8481999999999991E-2</v>
      </c>
      <c r="M122" s="958">
        <v>9.9299999999999999E-2</v>
      </c>
      <c r="N122" s="958">
        <v>0.11093399999999999</v>
      </c>
      <c r="O122" s="958">
        <v>0.12316199999999999</v>
      </c>
      <c r="P122" s="958">
        <v>0.13480199999999998</v>
      </c>
      <c r="Q122" s="966">
        <v>0.14945399999999998</v>
      </c>
      <c r="R122" s="640">
        <v>0.75</v>
      </c>
      <c r="U122" s="1757"/>
      <c r="V122" s="1750"/>
      <c r="W122" s="1178"/>
      <c r="X122" s="1178"/>
      <c r="Y122" s="1750"/>
      <c r="Z122" s="1750"/>
      <c r="AA122" s="1177"/>
      <c r="AB122" s="1178"/>
      <c r="AC122" s="1178"/>
      <c r="AD122" s="1178"/>
      <c r="AE122" s="1178"/>
      <c r="AF122" s="1178"/>
      <c r="AG122" s="1750"/>
      <c r="AH122" s="1750"/>
      <c r="AN122" s="1148"/>
      <c r="AO122" s="1148"/>
      <c r="AP122" s="1148"/>
      <c r="AU122" s="1148"/>
      <c r="AV122" s="1148"/>
      <c r="AW122" s="1148"/>
    </row>
    <row r="123" spans="1:49">
      <c r="A123" s="216"/>
      <c r="B123" s="160"/>
      <c r="C123" s="1230" t="s">
        <v>149</v>
      </c>
      <c r="D123" s="160"/>
      <c r="E123" s="955">
        <v>5.4042E-2</v>
      </c>
      <c r="F123" s="956">
        <v>7.8635999999999998E-2</v>
      </c>
      <c r="G123" s="956">
        <v>9.8184000000000007E-2</v>
      </c>
      <c r="H123" s="956">
        <v>0.11632800000000001</v>
      </c>
      <c r="I123" s="956">
        <v>0.13294799999999998</v>
      </c>
      <c r="J123" s="956">
        <v>0.14991599999999999</v>
      </c>
      <c r="K123" s="956">
        <v>0.16625999999999999</v>
      </c>
      <c r="L123" s="957">
        <v>0.182508</v>
      </c>
      <c r="M123" s="958">
        <v>0.19522199999999998</v>
      </c>
      <c r="N123" s="958">
        <v>0.20671199999999998</v>
      </c>
      <c r="O123" s="958">
        <v>0.21993599999999999</v>
      </c>
      <c r="P123" s="958">
        <v>0.23846400000000001</v>
      </c>
      <c r="Q123" s="966">
        <v>0.25164599999999998</v>
      </c>
      <c r="R123" s="640">
        <v>0.75</v>
      </c>
      <c r="T123" s="1750"/>
      <c r="U123" s="1750"/>
      <c r="V123" s="1750"/>
      <c r="W123" s="1178"/>
      <c r="X123" s="1178"/>
      <c r="Y123" s="1750"/>
      <c r="Z123" s="1750"/>
      <c r="AA123" s="1177"/>
      <c r="AB123" s="1178"/>
      <c r="AC123" s="1178"/>
      <c r="AD123" s="1178"/>
      <c r="AE123" s="1178"/>
      <c r="AF123" s="1178"/>
      <c r="AG123" s="1750"/>
      <c r="AH123" s="1750"/>
      <c r="AN123" s="1148"/>
      <c r="AO123" s="1148"/>
      <c r="AP123" s="1148"/>
      <c r="AU123" s="1148"/>
      <c r="AV123" s="1148"/>
      <c r="AW123" s="1148"/>
    </row>
    <row r="124" spans="1:49">
      <c r="A124" s="216"/>
      <c r="B124" s="160"/>
      <c r="C124" s="1230" t="s">
        <v>141</v>
      </c>
      <c r="D124" s="160"/>
      <c r="E124" s="955">
        <v>6.7103999999999997E-2</v>
      </c>
      <c r="F124" s="956">
        <v>9.1661999999999993E-2</v>
      </c>
      <c r="G124" s="956">
        <v>0.116886</v>
      </c>
      <c r="H124" s="956">
        <v>0.14174999999999999</v>
      </c>
      <c r="I124" s="956">
        <v>0.16810199999999997</v>
      </c>
      <c r="J124" s="956">
        <v>0.19002000000000002</v>
      </c>
      <c r="K124" s="956">
        <v>0.209178</v>
      </c>
      <c r="L124" s="957">
        <v>0.227634</v>
      </c>
      <c r="M124" s="958">
        <v>0.24274799999999999</v>
      </c>
      <c r="N124" s="958">
        <v>0.25864199999999998</v>
      </c>
      <c r="O124" s="958">
        <v>0.27477599999999996</v>
      </c>
      <c r="P124" s="958">
        <v>0.291126</v>
      </c>
      <c r="Q124" s="966">
        <v>0.30029999999999996</v>
      </c>
      <c r="R124" s="640">
        <v>0.75</v>
      </c>
      <c r="T124" s="1750"/>
      <c r="U124" s="1750"/>
      <c r="V124" s="1750"/>
      <c r="W124" s="1178"/>
      <c r="X124" s="1178"/>
      <c r="Y124" s="1750"/>
      <c r="Z124" s="1750"/>
      <c r="AA124" s="1177"/>
      <c r="AB124" s="1178"/>
      <c r="AC124" s="1178"/>
      <c r="AD124" s="1178"/>
      <c r="AE124" s="1178"/>
      <c r="AF124" s="1178"/>
      <c r="AG124" s="1750"/>
      <c r="AH124" s="1750"/>
      <c r="AN124" s="1148"/>
      <c r="AO124" s="1148"/>
      <c r="AP124" s="1148"/>
      <c r="AU124" s="1148"/>
      <c r="AV124" s="1148"/>
      <c r="AW124" s="1148"/>
    </row>
    <row r="125" spans="1:49">
      <c r="A125" s="216"/>
      <c r="B125" s="160"/>
      <c r="C125" s="1230" t="s">
        <v>150</v>
      </c>
      <c r="D125" s="160"/>
      <c r="E125" s="955">
        <v>8.8494000000000003E-2</v>
      </c>
      <c r="F125" s="956">
        <v>0.11900399999999998</v>
      </c>
      <c r="G125" s="956">
        <v>0.14521200000000001</v>
      </c>
      <c r="H125" s="956">
        <v>0.16969200000000001</v>
      </c>
      <c r="I125" s="956">
        <v>0.19164599999999998</v>
      </c>
      <c r="J125" s="956">
        <v>0.21069599999999997</v>
      </c>
      <c r="K125" s="956">
        <v>0.230022</v>
      </c>
      <c r="L125" s="957">
        <v>0.24579000000000001</v>
      </c>
      <c r="M125" s="958">
        <v>0.25759199999999999</v>
      </c>
      <c r="N125" s="958">
        <v>0.26609399999999994</v>
      </c>
      <c r="O125" s="958">
        <v>0.27526800000000001</v>
      </c>
      <c r="P125" s="958">
        <v>0.285912</v>
      </c>
      <c r="Q125" s="966">
        <v>0.30340199999999995</v>
      </c>
      <c r="R125" s="640">
        <v>0.75</v>
      </c>
      <c r="T125" s="1750"/>
      <c r="U125" s="1750"/>
      <c r="V125" s="1750"/>
      <c r="W125" s="1178"/>
      <c r="X125" s="1178"/>
      <c r="Y125" s="1750"/>
      <c r="Z125" s="1750"/>
      <c r="AA125" s="1177"/>
      <c r="AB125" s="1178"/>
      <c r="AC125" s="1178"/>
      <c r="AD125" s="1178"/>
      <c r="AE125" s="1178"/>
      <c r="AF125" s="1178"/>
      <c r="AG125" s="1750"/>
      <c r="AH125" s="1750"/>
      <c r="AN125" s="1148"/>
      <c r="AO125" s="1148"/>
      <c r="AP125" s="1148"/>
      <c r="AU125" s="1148"/>
      <c r="AV125" s="1148"/>
      <c r="AW125" s="1148"/>
    </row>
    <row r="126" spans="1:49" ht="13.5" thickBot="1">
      <c r="A126" s="216"/>
      <c r="B126" s="598"/>
      <c r="C126" s="1231" t="s">
        <v>166</v>
      </c>
      <c r="D126" s="160"/>
      <c r="E126" s="959">
        <v>0.12728399999999998</v>
      </c>
      <c r="F126" s="960">
        <v>0.16400399999999998</v>
      </c>
      <c r="G126" s="960">
        <v>0.19636199999999995</v>
      </c>
      <c r="H126" s="960">
        <v>0.22632599999999997</v>
      </c>
      <c r="I126" s="960">
        <v>0.25067400000000001</v>
      </c>
      <c r="J126" s="960">
        <v>0.27195599999999998</v>
      </c>
      <c r="K126" s="960">
        <v>0.28700400000000004</v>
      </c>
      <c r="L126" s="961">
        <v>0.30083399999999999</v>
      </c>
      <c r="M126" s="962">
        <v>0.31490399999999996</v>
      </c>
      <c r="N126" s="962">
        <v>0.33036599999999999</v>
      </c>
      <c r="O126" s="962">
        <v>0.339198</v>
      </c>
      <c r="P126" s="962">
        <v>0.34679399999999999</v>
      </c>
      <c r="Q126" s="963">
        <v>0.35220000000000001</v>
      </c>
      <c r="R126" s="641">
        <v>0.75</v>
      </c>
      <c r="T126" s="1750"/>
      <c r="U126" s="1750"/>
      <c r="V126" s="1750"/>
      <c r="W126" s="1178"/>
      <c r="X126" s="1178"/>
      <c r="Y126" s="1750"/>
      <c r="Z126" s="1750"/>
      <c r="AA126" s="1177"/>
      <c r="AB126" s="1178"/>
      <c r="AC126" s="1178"/>
      <c r="AD126" s="1178"/>
      <c r="AE126" s="1178"/>
      <c r="AF126" s="1178"/>
      <c r="AG126" s="1750"/>
      <c r="AH126" s="1750"/>
      <c r="AN126" s="1148"/>
      <c r="AO126" s="1148"/>
      <c r="AP126" s="1148"/>
      <c r="AU126" s="1148"/>
      <c r="AV126" s="1148"/>
      <c r="AW126" s="1148"/>
    </row>
    <row r="127" spans="1:49">
      <c r="A127" s="216"/>
      <c r="B127" s="192"/>
      <c r="C127" s="192"/>
      <c r="D127" s="189"/>
      <c r="E127" s="161"/>
      <c r="F127" s="161"/>
      <c r="G127" s="178"/>
      <c r="H127" s="161"/>
      <c r="I127" s="161"/>
      <c r="J127" s="160"/>
      <c r="K127" s="161"/>
      <c r="L127" s="161"/>
      <c r="M127" s="178"/>
      <c r="N127" s="161"/>
      <c r="O127" s="161"/>
      <c r="P127" s="178"/>
      <c r="Q127" s="161"/>
      <c r="R127" s="161"/>
      <c r="T127" s="1750"/>
      <c r="U127" s="1750"/>
      <c r="V127" s="1750"/>
      <c r="W127" s="1178"/>
      <c r="X127" s="1178"/>
      <c r="Y127" s="1750"/>
      <c r="Z127" s="1750"/>
      <c r="AA127" s="1177"/>
      <c r="AB127" s="1178"/>
      <c r="AC127" s="1178"/>
      <c r="AD127" s="1178"/>
      <c r="AE127" s="1178"/>
      <c r="AF127" s="1178"/>
      <c r="AG127" s="1750"/>
      <c r="AH127" s="1750"/>
      <c r="AN127" s="1148"/>
      <c r="AO127" s="1148"/>
      <c r="AP127" s="1148"/>
      <c r="AU127" s="1148"/>
      <c r="AV127" s="1148"/>
      <c r="AW127" s="1148"/>
    </row>
    <row r="128" spans="1:49">
      <c r="A128" s="216"/>
      <c r="B128" s="126"/>
      <c r="C128" s="126"/>
      <c r="D128" s="66"/>
      <c r="E128" s="67"/>
      <c r="F128" s="67"/>
      <c r="G128" s="49"/>
      <c r="H128" s="67"/>
      <c r="I128" s="67"/>
      <c r="J128" s="49"/>
      <c r="K128" s="67"/>
      <c r="L128" s="67"/>
      <c r="M128" s="49"/>
      <c r="N128" s="67"/>
      <c r="O128" s="67"/>
      <c r="P128" s="49"/>
      <c r="Q128" s="67"/>
      <c r="R128" s="67"/>
      <c r="T128" s="1750"/>
      <c r="U128" s="1750"/>
      <c r="V128" s="1750"/>
      <c r="W128" s="1178"/>
      <c r="X128" s="1178"/>
      <c r="Y128" s="1750"/>
      <c r="Z128" s="1750"/>
      <c r="AA128" s="1177"/>
      <c r="AB128" s="1178"/>
      <c r="AC128" s="1178"/>
      <c r="AD128" s="1178"/>
      <c r="AE128" s="1178"/>
      <c r="AF128" s="1178"/>
      <c r="AG128" s="1750"/>
      <c r="AH128" s="1750"/>
      <c r="AN128" s="1148"/>
      <c r="AO128" s="1148"/>
      <c r="AP128" s="1148"/>
      <c r="AU128" s="1148"/>
      <c r="AV128" s="1148"/>
      <c r="AW128" s="1148"/>
    </row>
    <row r="129" spans="1:49" s="988" customFormat="1">
      <c r="A129" s="985"/>
      <c r="B129" s="986"/>
      <c r="C129" s="987"/>
      <c r="I129" s="989"/>
      <c r="J129" s="989"/>
      <c r="K129" s="990"/>
      <c r="L129" s="991"/>
      <c r="M129" s="992"/>
      <c r="S129" s="1170"/>
      <c r="AU129" s="993"/>
      <c r="AV129" s="993"/>
      <c r="AW129" s="993"/>
    </row>
  </sheetData>
  <sortState ref="CF57:CI72">
    <sortCondition ref="CI57:CI72"/>
  </sortState>
  <mergeCells count="30">
    <mergeCell ref="B15:C15"/>
    <mergeCell ref="B16:C16"/>
    <mergeCell ref="B1:C1"/>
    <mergeCell ref="B3:C3"/>
    <mergeCell ref="B7:C7"/>
    <mergeCell ref="B8:C8"/>
    <mergeCell ref="B9:C9"/>
    <mergeCell ref="B11:C11"/>
    <mergeCell ref="B12:C12"/>
    <mergeCell ref="AY37:BL39"/>
    <mergeCell ref="CE33:CJ34"/>
    <mergeCell ref="CL10:CR14"/>
    <mergeCell ref="CL15:CR17"/>
    <mergeCell ref="AI1:AL1"/>
    <mergeCell ref="E54:F54"/>
    <mergeCell ref="AR3:AT3"/>
    <mergeCell ref="AN38:AV39"/>
    <mergeCell ref="AN34:AV35"/>
    <mergeCell ref="B4:C4"/>
    <mergeCell ref="B5:C5"/>
    <mergeCell ref="B40:C41"/>
    <mergeCell ref="B54:C54"/>
    <mergeCell ref="B19:C19"/>
    <mergeCell ref="AI10:AL10"/>
    <mergeCell ref="AI21:AL21"/>
    <mergeCell ref="AN29:AV30"/>
    <mergeCell ref="AN32:AV33"/>
    <mergeCell ref="B6:C6"/>
    <mergeCell ref="B18:C18"/>
    <mergeCell ref="B14:C14"/>
  </mergeCells>
  <dataValidations count="4">
    <dataValidation type="list" allowBlank="1" showInputMessage="1" showErrorMessage="1" sqref="C24 C10">
      <formula1>$A$43:$A$45</formula1>
    </dataValidation>
    <dataValidation type="list" allowBlank="1" showInputMessage="1" showErrorMessage="1" sqref="B20">
      <formula1>$A$40:$A$41</formula1>
    </dataValidation>
    <dataValidation type="list" allowBlank="1" showInputMessage="1" showErrorMessage="1" sqref="D14:R14">
      <formula1>$C$68:$C$78</formula1>
    </dataValidation>
    <dataValidation type="list" allowBlank="1" showInputMessage="1" showErrorMessage="1" sqref="G2 P2 M2 D2 J2">
      <formula1>$E$58:$Q$58</formula1>
    </dataValidation>
  </dataValidations>
  <pageMargins left="0.78740157480314965" right="0.78740157480314965" top="0.98425196850393704" bottom="0.98425196850393704" header="0.51181102362204722" footer="0.51181102362204722"/>
  <pageSetup paperSize="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L129"/>
  <sheetViews>
    <sheetView showGridLines="0" topLeftCell="B1" zoomScale="90" zoomScaleNormal="90" workbookViewId="0">
      <pane xSplit="2" ySplit="1" topLeftCell="D2" activePane="bottomRight" state="frozen"/>
      <selection activeCell="B1" sqref="B1"/>
      <selection pane="topRight" activeCell="D1" sqref="D1"/>
      <selection pane="bottomLeft" activeCell="B2" sqref="B2"/>
      <selection pane="bottomRight" activeCell="R1" sqref="R1:R1048576"/>
    </sheetView>
  </sheetViews>
  <sheetFormatPr defaultColWidth="11.5703125" defaultRowHeight="12.75"/>
  <cols>
    <col min="1" max="1" width="22.140625" style="994" bestFit="1" customWidth="1"/>
    <col min="2" max="2" width="24.5703125" style="995" bestFit="1" customWidth="1"/>
    <col min="3" max="3" width="5.7109375" style="995" bestFit="1" customWidth="1"/>
    <col min="4" max="4" width="7.85546875" style="996" customWidth="1"/>
    <col min="5" max="6" width="7.7109375" style="997" bestFit="1" customWidth="1"/>
    <col min="7" max="7" width="7.7109375" style="998" bestFit="1" customWidth="1"/>
    <col min="8" max="9" width="7.7109375" style="997" bestFit="1" customWidth="1"/>
    <col min="10" max="10" width="7.7109375" style="998" bestFit="1" customWidth="1"/>
    <col min="11" max="12" width="7.7109375" style="997" bestFit="1" customWidth="1"/>
    <col min="13" max="13" width="8.5703125" style="998" bestFit="1" customWidth="1"/>
    <col min="14" max="15" width="7.7109375" style="997" bestFit="1" customWidth="1"/>
    <col min="16" max="16" width="8.140625" style="998" bestFit="1" customWidth="1"/>
    <col min="17" max="17" width="7.7109375" style="997" bestFit="1" customWidth="1"/>
    <col min="18" max="18" width="8" style="997" customWidth="1"/>
    <col min="19" max="19" width="2" style="1165" customWidth="1"/>
    <col min="20" max="20" width="7" style="999" hidden="1" customWidth="1"/>
    <col min="21" max="21" width="10.140625" style="999" hidden="1" customWidth="1"/>
    <col min="22" max="22" width="8.85546875" style="999" hidden="1" customWidth="1"/>
    <col min="23" max="23" width="9.28515625" style="1000" hidden="1" customWidth="1"/>
    <col min="24" max="24" width="8.5703125" style="1000" hidden="1" customWidth="1"/>
    <col min="25" max="25" width="7.7109375" style="999" hidden="1" customWidth="1"/>
    <col min="26" max="26" width="14.85546875" style="999" hidden="1" customWidth="1"/>
    <col min="27" max="27" width="11.5703125" style="999" bestFit="1" customWidth="1"/>
    <col min="28" max="29" width="10.42578125" style="999" customWidth="1"/>
    <col min="30" max="30" width="10.140625" style="999" bestFit="1" customWidth="1"/>
    <col min="31" max="31" width="1.28515625" style="999" customWidth="1"/>
    <col min="32" max="32" width="13.7109375" style="999" bestFit="1" customWidth="1"/>
    <col min="33" max="33" width="11.5703125" style="997" customWidth="1"/>
    <col min="34" max="34" width="10.7109375" style="998" customWidth="1"/>
    <col min="35" max="35" width="10" style="998" customWidth="1"/>
    <col min="36" max="36" width="10.140625" style="998" bestFit="1" customWidth="1"/>
    <col min="37" max="37" width="4.42578125" style="1306" customWidth="1"/>
    <col min="38" max="16384" width="11.5703125" style="1001"/>
  </cols>
  <sheetData>
    <row r="1" spans="1:38" s="1003" customFormat="1">
      <c r="A1" s="214"/>
      <c r="B1" s="1844" t="s">
        <v>485</v>
      </c>
      <c r="C1" s="1849"/>
      <c r="D1" s="294"/>
      <c r="E1" s="676" t="s">
        <v>135</v>
      </c>
      <c r="F1" s="677" t="s">
        <v>136</v>
      </c>
      <c r="G1" s="860"/>
      <c r="H1" s="676" t="s">
        <v>135</v>
      </c>
      <c r="I1" s="677" t="s">
        <v>136</v>
      </c>
      <c r="J1" s="860"/>
      <c r="K1" s="676" t="s">
        <v>135</v>
      </c>
      <c r="L1" s="677" t="s">
        <v>136</v>
      </c>
      <c r="M1" s="861"/>
      <c r="N1" s="676" t="s">
        <v>135</v>
      </c>
      <c r="O1" s="677" t="s">
        <v>136</v>
      </c>
      <c r="P1" s="860"/>
      <c r="Q1" s="676" t="s">
        <v>135</v>
      </c>
      <c r="R1" s="677" t="s">
        <v>136</v>
      </c>
      <c r="S1" s="1152"/>
      <c r="T1" s="30"/>
      <c r="U1" s="365" t="s">
        <v>177</v>
      </c>
      <c r="V1" s="130" t="s">
        <v>307</v>
      </c>
      <c r="W1" s="27"/>
      <c r="X1" s="130"/>
      <c r="Y1" s="130"/>
      <c r="Z1" s="30"/>
      <c r="AA1" s="1846" t="s">
        <v>486</v>
      </c>
      <c r="AB1" s="1847"/>
      <c r="AC1" s="1847"/>
      <c r="AD1" s="1848"/>
      <c r="AE1" s="30"/>
      <c r="AF1" s="30"/>
      <c r="AG1" s="1833" t="s">
        <v>487</v>
      </c>
      <c r="AH1" s="1834"/>
      <c r="AI1" s="1834"/>
      <c r="AJ1" s="1835"/>
      <c r="AK1" s="1302"/>
      <c r="AL1" s="1002"/>
    </row>
    <row r="2" spans="1:38" s="1004" customFormat="1">
      <c r="A2" s="215"/>
      <c r="B2" s="734" t="s">
        <v>151</v>
      </c>
      <c r="C2" s="735"/>
      <c r="D2" s="42" t="s">
        <v>159</v>
      </c>
      <c r="E2" s="251" t="str">
        <f>D2</f>
        <v>10Y</v>
      </c>
      <c r="F2" s="251" t="str">
        <f>D2</f>
        <v>10Y</v>
      </c>
      <c r="G2" s="42" t="str">
        <f>J2</f>
        <v>10Y</v>
      </c>
      <c r="H2" s="251" t="str">
        <f>G2</f>
        <v>10Y</v>
      </c>
      <c r="I2" s="251" t="str">
        <f>G2</f>
        <v>10Y</v>
      </c>
      <c r="J2" s="127" t="s">
        <v>159</v>
      </c>
      <c r="K2" s="251" t="str">
        <f>J2</f>
        <v>10Y</v>
      </c>
      <c r="L2" s="251" t="str">
        <f>J2</f>
        <v>10Y</v>
      </c>
      <c r="M2" s="42" t="str">
        <f>P2</f>
        <v>10Y</v>
      </c>
      <c r="N2" s="251" t="str">
        <f>M2</f>
        <v>10Y</v>
      </c>
      <c r="O2" s="251" t="str">
        <f>M2</f>
        <v>10Y</v>
      </c>
      <c r="P2" s="127" t="s">
        <v>159</v>
      </c>
      <c r="Q2" s="251" t="str">
        <f>P2</f>
        <v>10Y</v>
      </c>
      <c r="R2" s="251" t="str">
        <f>P2</f>
        <v>10Y</v>
      </c>
      <c r="S2" s="1153"/>
      <c r="T2" s="38"/>
      <c r="U2" s="667" t="s">
        <v>159</v>
      </c>
      <c r="V2" s="38"/>
      <c r="W2" s="35"/>
      <c r="X2" s="35"/>
      <c r="Y2" s="38"/>
      <c r="Z2" s="362" t="s">
        <v>151</v>
      </c>
      <c r="AA2" s="719" t="str">
        <f>IF('FINAL BIPT &amp; Cullen 2014'!D2='Vs. Consultation Version '!D2,"","!!!")</f>
        <v/>
      </c>
      <c r="AB2" s="721" t="str">
        <f>IF('FINAL BIPT &amp; Cullen 2014'!J2='Vs. Consultation Version '!J2,"","!!!")</f>
        <v/>
      </c>
      <c r="AC2" s="721" t="str">
        <f>IF('FINAL BIPT &amp; Cullen 2014'!P2='Vs. Consultation Version '!P2,"","!!!")</f>
        <v/>
      </c>
      <c r="AD2" s="720" t="str">
        <f>IF('FINAL BIPT &amp; Cullen 2014'!G2='Vs. Consultation Version '!G2,"","!!!")</f>
        <v/>
      </c>
      <c r="AE2" s="424"/>
      <c r="AF2" s="62" t="s">
        <v>151</v>
      </c>
      <c r="AG2" s="719" t="str">
        <f>IF(D2=$U$2,"","!!!")</f>
        <v/>
      </c>
      <c r="AH2" s="721" t="str">
        <f>IF(J2=$U$2,"","!!!")</f>
        <v/>
      </c>
      <c r="AI2" s="721" t="str">
        <f>IF(P2=$U$2,"","!!!")</f>
        <v/>
      </c>
      <c r="AJ2" s="720" t="str">
        <f>IF(M2=$U$2,"","!!!")</f>
        <v/>
      </c>
      <c r="AK2" s="1303"/>
    </row>
    <row r="3" spans="1:38">
      <c r="A3" s="216" t="s">
        <v>7</v>
      </c>
      <c r="B3" s="1799" t="s">
        <v>0</v>
      </c>
      <c r="C3" s="1800"/>
      <c r="D3" s="243">
        <f>HLOOKUP(D2,$E$58:$Q$61,2,FALSE)/100</f>
        <v>2.6303155319238606E-2</v>
      </c>
      <c r="E3" s="675">
        <f>HLOOKUP(E2,$E$58:$Q$61,3,FALSE)/100</f>
        <v>2.1543636942675169E-2</v>
      </c>
      <c r="F3" s="675">
        <f>HLOOKUP(F2,$E$58:$Q$61,4,FALSE)/100</f>
        <v>3.4791202534501686E-2</v>
      </c>
      <c r="G3" s="243">
        <f>HLOOKUP(G2,$E$58:$Q$61,2,FALSE)/100</f>
        <v>2.6303155319238606E-2</v>
      </c>
      <c r="H3" s="675">
        <f>HLOOKUP(H2,$E$58:$Q$61,3,FALSE)/100</f>
        <v>2.1543636942675169E-2</v>
      </c>
      <c r="I3" s="675">
        <f>HLOOKUP(I2,$E$58:$Q$61,4,FALSE)/100</f>
        <v>3.4791202534501686E-2</v>
      </c>
      <c r="J3" s="127">
        <f>HLOOKUP(J2,$E$58:$Q$61,2,FALSE)/100</f>
        <v>2.6303155319238606E-2</v>
      </c>
      <c r="K3" s="675">
        <f>HLOOKUP(K2,$E$58:$Q$61,3,FALSE)/100</f>
        <v>2.1543636942675169E-2</v>
      </c>
      <c r="L3" s="675">
        <f>HLOOKUP(L2,$E$58:$Q$61,4,FALSE)/100</f>
        <v>3.4791202534501686E-2</v>
      </c>
      <c r="M3" s="243">
        <f>HLOOKUP(M2,$E$58:$Q$61,2,FALSE)/100</f>
        <v>2.6303155319238606E-2</v>
      </c>
      <c r="N3" s="675">
        <f>HLOOKUP(N2,$E$58:$Q$61,3,FALSE)/100</f>
        <v>2.1543636942675169E-2</v>
      </c>
      <c r="O3" s="675">
        <f>HLOOKUP(O2,$E$58:$Q$61,4,FALSE)/100</f>
        <v>3.4791202534501686E-2</v>
      </c>
      <c r="P3" s="127">
        <f>HLOOKUP(P2,$E$58:$Q$61,2,FALSE)/100</f>
        <v>2.6303155319238606E-2</v>
      </c>
      <c r="Q3" s="675">
        <f>HLOOKUP(Q2,$E$58:$Q$61,3,FALSE)/100</f>
        <v>2.1543636942675169E-2</v>
      </c>
      <c r="R3" s="675">
        <f>HLOOKUP(R2,$E$58:$Q$61,4,FALSE)/100</f>
        <v>3.4791202534501686E-2</v>
      </c>
      <c r="S3" s="1153"/>
      <c r="T3" s="47"/>
      <c r="U3" s="59">
        <v>0.04</v>
      </c>
      <c r="V3" s="44">
        <f>$U$3</f>
        <v>0.04</v>
      </c>
      <c r="W3" s="44">
        <f>$U$3</f>
        <v>0.04</v>
      </c>
      <c r="X3" s="44">
        <f>$U$3</f>
        <v>0.04</v>
      </c>
      <c r="Y3" s="45">
        <f>$U$3</f>
        <v>0.04</v>
      </c>
      <c r="Z3" s="311" t="s">
        <v>0</v>
      </c>
      <c r="AA3" s="687">
        <f>'FINAL BIPT &amp; Cullen 2014'!D3-D3</f>
        <v>0</v>
      </c>
      <c r="AB3" s="1412">
        <f>'FINAL BIPT &amp; Cullen 2014'!J3-J3</f>
        <v>0</v>
      </c>
      <c r="AC3" s="108">
        <f>'FINAL BIPT &amp; Cullen 2014'!P3-P3</f>
        <v>0</v>
      </c>
      <c r="AD3" s="770">
        <f>'FINAL BIPT &amp; Cullen 2014'!G3-G3</f>
        <v>0</v>
      </c>
      <c r="AE3" s="387"/>
      <c r="AF3" s="311" t="s">
        <v>0</v>
      </c>
      <c r="AG3" s="687">
        <f>D3-U3</f>
        <v>-1.3696844680761395E-2</v>
      </c>
      <c r="AH3" s="712">
        <f>J3-V3</f>
        <v>-1.3696844680761395E-2</v>
      </c>
      <c r="AI3" s="108">
        <f>P3-Y3</f>
        <v>-1.3696844680761395E-2</v>
      </c>
      <c r="AJ3" s="770">
        <f>M3-X3</f>
        <v>-1.3696844680761395E-2</v>
      </c>
      <c r="AK3" s="1304"/>
    </row>
    <row r="4" spans="1:38" s="1005" customFormat="1">
      <c r="A4" s="215" t="s">
        <v>133</v>
      </c>
      <c r="B4" s="1799" t="s">
        <v>361</v>
      </c>
      <c r="C4" s="1800"/>
      <c r="D4" s="195">
        <f>HLOOKUP(D2,$E$62:$Q$65,2,FALSE)/100</f>
        <v>6.4031868806607058E-3</v>
      </c>
      <c r="E4" s="675">
        <f>HLOOKUP(E2,$E$62:$Q$65,3,FALSE)/100</f>
        <v>6.454065477657079E-3</v>
      </c>
      <c r="F4" s="675">
        <f>HLOOKUP(F2,$E$62:$Q$65,4,FALSE)/100</f>
        <v>7.6673911259305507E-3</v>
      </c>
      <c r="G4" s="195">
        <f>HLOOKUP(G2,$E$62:$Q$65,2,FALSE)/100</f>
        <v>6.4031868806607058E-3</v>
      </c>
      <c r="H4" s="675">
        <f>HLOOKUP(H2,$E$62:$Q$65,3,FALSE)/100</f>
        <v>6.454065477657079E-3</v>
      </c>
      <c r="I4" s="675">
        <f>HLOOKUP(I2,$E$62:$Q$65,4,FALSE)/100</f>
        <v>7.6673911259305507E-3</v>
      </c>
      <c r="J4" s="59">
        <f>HLOOKUP(J2,$E$62:$Q$65,2,FALSE)/100</f>
        <v>6.4031868806607058E-3</v>
      </c>
      <c r="K4" s="675">
        <f>HLOOKUP(K2,$E$62:$Q$65,3,FALSE)/100</f>
        <v>6.454065477657079E-3</v>
      </c>
      <c r="L4" s="675">
        <f>HLOOKUP(L2,$E$62:$Q$65,4,FALSE)/100</f>
        <v>7.6673911259305507E-3</v>
      </c>
      <c r="M4" s="195">
        <f>HLOOKUP(M2,$E$62:$Q$65,2,FALSE)/100</f>
        <v>6.4031868806607058E-3</v>
      </c>
      <c r="N4" s="675">
        <f>HLOOKUP(N2,$E$62:$Q$65,3,FALSE)/100</f>
        <v>6.454065477657079E-3</v>
      </c>
      <c r="O4" s="675">
        <f>HLOOKUP(O2,$E$62:$Q$65,4,FALSE)/100</f>
        <v>7.6673911259305507E-3</v>
      </c>
      <c r="P4" s="59">
        <f>HLOOKUP(P2,$E$62:$Q$65,2,FALSE)/100</f>
        <v>6.4031868806607058E-3</v>
      </c>
      <c r="Q4" s="675">
        <f>HLOOKUP(Q2,$E$62:$Q$65,3,FALSE)/100</f>
        <v>6.454065477657079E-3</v>
      </c>
      <c r="R4" s="675">
        <f>HLOOKUP(R2,$E$62:$Q$65,4,FALSE)/100</f>
        <v>7.6673911259305507E-3</v>
      </c>
      <c r="S4" s="1154"/>
      <c r="T4" s="662"/>
      <c r="U4" s="56"/>
      <c r="V4" s="44"/>
      <c r="W4" s="44"/>
      <c r="X4" s="44"/>
      <c r="Y4" s="44"/>
      <c r="Z4" s="362" t="s">
        <v>262</v>
      </c>
      <c r="AA4" s="687">
        <f>'FINAL BIPT &amp; Cullen 2014'!D4-D4</f>
        <v>0</v>
      </c>
      <c r="AB4" s="1412">
        <f>'FINAL BIPT &amp; Cullen 2014'!J4-J4</f>
        <v>0</v>
      </c>
      <c r="AC4" s="108">
        <f>'FINAL BIPT &amp; Cullen 2014'!P4-P4</f>
        <v>0</v>
      </c>
      <c r="AD4" s="770">
        <f>'FINAL BIPT &amp; Cullen 2014'!G4-G4</f>
        <v>0</v>
      </c>
      <c r="AE4" s="387"/>
      <c r="AF4" s="311" t="s">
        <v>134</v>
      </c>
      <c r="AG4" s="687">
        <f>D4-U4</f>
        <v>6.4031868806607058E-3</v>
      </c>
      <c r="AH4" s="722">
        <f>J4-V4</f>
        <v>6.4031868806607058E-3</v>
      </c>
      <c r="AI4" s="108">
        <f>P4-Y4</f>
        <v>6.4031868806607058E-3</v>
      </c>
      <c r="AJ4" s="770">
        <f>M4-X4</f>
        <v>6.4031868806607058E-3</v>
      </c>
      <c r="AK4" s="1305"/>
    </row>
    <row r="5" spans="1:38">
      <c r="A5" s="216" t="s">
        <v>8</v>
      </c>
      <c r="B5" s="1799" t="s">
        <v>362</v>
      </c>
      <c r="C5" s="1800"/>
      <c r="D5" s="246">
        <f>$J$5</f>
        <v>5.3854791237840642E-2</v>
      </c>
      <c r="E5" s="247">
        <f>$K$5</f>
        <v>5.135479123784064E-2</v>
      </c>
      <c r="F5" s="248">
        <f>$L$5</f>
        <v>5.6354791237840644E-2</v>
      </c>
      <c r="G5" s="246">
        <f>$J$5</f>
        <v>5.3854791237840642E-2</v>
      </c>
      <c r="H5" s="247">
        <f>$K$5</f>
        <v>5.135479123784064E-2</v>
      </c>
      <c r="I5" s="248">
        <f>$L$5</f>
        <v>5.6354791237840644E-2</v>
      </c>
      <c r="J5" s="127">
        <f>D57/100</f>
        <v>5.3854791237840642E-2</v>
      </c>
      <c r="K5" s="684">
        <f>J5-0.25%</f>
        <v>5.135479123784064E-2</v>
      </c>
      <c r="L5" s="684">
        <f>J5+0.25%</f>
        <v>5.6354791237840644E-2</v>
      </c>
      <c r="M5" s="246">
        <f>$J$5</f>
        <v>5.3854791237840642E-2</v>
      </c>
      <c r="N5" s="247">
        <f>$K$5</f>
        <v>5.135479123784064E-2</v>
      </c>
      <c r="O5" s="248">
        <f>$L$5</f>
        <v>5.6354791237840644E-2</v>
      </c>
      <c r="P5" s="246">
        <f>$J$5</f>
        <v>5.3854791237840642E-2</v>
      </c>
      <c r="Q5" s="247">
        <f>$K$5</f>
        <v>5.135479123784064E-2</v>
      </c>
      <c r="R5" s="248">
        <f>$L$5</f>
        <v>5.6354791237840644E-2</v>
      </c>
      <c r="S5" s="1154"/>
      <c r="T5" s="47"/>
      <c r="U5" s="59">
        <v>5.2499999999999998E-2</v>
      </c>
      <c r="V5" s="44">
        <f>$U$5</f>
        <v>5.2499999999999998E-2</v>
      </c>
      <c r="W5" s="44">
        <f>$U$5</f>
        <v>5.2499999999999998E-2</v>
      </c>
      <c r="X5" s="44">
        <f>$U$5</f>
        <v>5.2499999999999998E-2</v>
      </c>
      <c r="Y5" s="45">
        <f>$U$5</f>
        <v>5.2499999999999998E-2</v>
      </c>
      <c r="Z5" s="311" t="s">
        <v>132</v>
      </c>
      <c r="AA5" s="687">
        <f>'FINAL BIPT &amp; Cullen 2014'!D5-D5</f>
        <v>0</v>
      </c>
      <c r="AB5" s="1412">
        <f>'FINAL BIPT &amp; Cullen 2014'!J5-J5</f>
        <v>0</v>
      </c>
      <c r="AC5" s="108">
        <f>'FINAL BIPT &amp; Cullen 2014'!P5-P5</f>
        <v>0</v>
      </c>
      <c r="AD5" s="770">
        <f>'FINAL BIPT &amp; Cullen 2014'!G5-G5</f>
        <v>0</v>
      </c>
      <c r="AE5" s="387"/>
      <c r="AF5" s="311" t="s">
        <v>132</v>
      </c>
      <c r="AG5" s="687">
        <f>D5-U5</f>
        <v>1.354791237840644E-3</v>
      </c>
      <c r="AH5" s="722">
        <f>J5-V5</f>
        <v>1.354791237840644E-3</v>
      </c>
      <c r="AI5" s="108">
        <f>P5-Y5</f>
        <v>1.354791237840644E-3</v>
      </c>
      <c r="AJ5" s="770">
        <f>M5-X5</f>
        <v>1.354791237840644E-3</v>
      </c>
      <c r="AK5" s="1305"/>
    </row>
    <row r="6" spans="1:38" s="1006" customFormat="1">
      <c r="A6" s="217"/>
      <c r="B6" s="1822" t="s">
        <v>372</v>
      </c>
      <c r="C6" s="1823"/>
      <c r="D6" s="43">
        <f t="shared" ref="D6:R6" si="0">D3+D4+D5</f>
        <v>8.6561133437739954E-2</v>
      </c>
      <c r="E6" s="44">
        <f t="shared" si="0"/>
        <v>7.9352493658172887E-2</v>
      </c>
      <c r="F6" s="45">
        <f t="shared" si="0"/>
        <v>9.8813384898272877E-2</v>
      </c>
      <c r="G6" s="43">
        <f t="shared" si="0"/>
        <v>8.6561133437739954E-2</v>
      </c>
      <c r="H6" s="44">
        <f t="shared" si="0"/>
        <v>7.9352493658172887E-2</v>
      </c>
      <c r="I6" s="45">
        <f t="shared" si="0"/>
        <v>9.8813384898272877E-2</v>
      </c>
      <c r="J6" s="32">
        <f t="shared" si="0"/>
        <v>8.6561133437739954E-2</v>
      </c>
      <c r="K6" s="44">
        <f t="shared" si="0"/>
        <v>7.9352493658172887E-2</v>
      </c>
      <c r="L6" s="45">
        <f t="shared" si="0"/>
        <v>9.8813384898272877E-2</v>
      </c>
      <c r="M6" s="43">
        <f t="shared" si="0"/>
        <v>8.6561133437739954E-2</v>
      </c>
      <c r="N6" s="44">
        <f t="shared" si="0"/>
        <v>7.9352493658172887E-2</v>
      </c>
      <c r="O6" s="45">
        <f t="shared" si="0"/>
        <v>9.8813384898272877E-2</v>
      </c>
      <c r="P6" s="43">
        <f t="shared" si="0"/>
        <v>8.6561133437739954E-2</v>
      </c>
      <c r="Q6" s="44">
        <f t="shared" si="0"/>
        <v>7.9352493658172887E-2</v>
      </c>
      <c r="R6" s="45">
        <f t="shared" si="0"/>
        <v>9.8813384898272877E-2</v>
      </c>
      <c r="S6" s="1154"/>
      <c r="T6" s="61"/>
      <c r="U6" s="32">
        <f>U3+U5</f>
        <v>9.2499999999999999E-2</v>
      </c>
      <c r="V6" s="44">
        <f>V3+V5</f>
        <v>9.2499999999999999E-2</v>
      </c>
      <c r="W6" s="44">
        <f>W3+W5</f>
        <v>9.2499999999999999E-2</v>
      </c>
      <c r="X6" s="44">
        <f>X3+X5</f>
        <v>9.2499999999999999E-2</v>
      </c>
      <c r="Y6" s="44">
        <f>Y3+Y5</f>
        <v>9.2499999999999999E-2</v>
      </c>
      <c r="Z6" s="368" t="s">
        <v>261</v>
      </c>
      <c r="AA6" s="687">
        <f>'FINAL BIPT &amp; Cullen 2014'!D6-D6</f>
        <v>0</v>
      </c>
      <c r="AB6" s="82">
        <f>'FINAL BIPT &amp; Cullen 2014'!J6-J6</f>
        <v>0</v>
      </c>
      <c r="AC6" s="244">
        <f>'FINAL BIPT &amp; Cullen 2014'!P6-P6</f>
        <v>0</v>
      </c>
      <c r="AD6" s="770">
        <f>'FINAL BIPT &amp; Cullen 2014'!G6-G6</f>
        <v>0</v>
      </c>
      <c r="AE6" s="83"/>
      <c r="AF6" s="82" t="s">
        <v>373</v>
      </c>
      <c r="AG6" s="687">
        <f>D6-U6</f>
        <v>-5.9388665622600451E-3</v>
      </c>
      <c r="AH6" s="82">
        <f>J6-V6</f>
        <v>-5.9388665622600451E-3</v>
      </c>
      <c r="AI6" s="108">
        <f>P6-Y6</f>
        <v>-5.9388665622600451E-3</v>
      </c>
      <c r="AJ6" s="770">
        <f>M6-X6</f>
        <v>-5.9388665622600451E-3</v>
      </c>
      <c r="AK6" s="1304"/>
    </row>
    <row r="7" spans="1:38">
      <c r="A7" s="216" t="s">
        <v>9</v>
      </c>
      <c r="B7" s="1799" t="s">
        <v>10</v>
      </c>
      <c r="C7" s="1800"/>
      <c r="D7" s="64">
        <f t="shared" ref="D7:I7" si="1">$J$7</f>
        <v>0.33989999999999998</v>
      </c>
      <c r="E7" s="63">
        <f t="shared" si="1"/>
        <v>0.33989999999999998</v>
      </c>
      <c r="F7" s="65">
        <f t="shared" si="1"/>
        <v>0.33989999999999998</v>
      </c>
      <c r="G7" s="64">
        <f t="shared" si="1"/>
        <v>0.33989999999999998</v>
      </c>
      <c r="H7" s="63">
        <f t="shared" si="1"/>
        <v>0.33989999999999998</v>
      </c>
      <c r="I7" s="65">
        <f t="shared" si="1"/>
        <v>0.33989999999999998</v>
      </c>
      <c r="J7" s="62">
        <v>0.33989999999999998</v>
      </c>
      <c r="K7" s="63">
        <f t="shared" ref="K7:R7" si="2">$J$7</f>
        <v>0.33989999999999998</v>
      </c>
      <c r="L7" s="65">
        <f t="shared" si="2"/>
        <v>0.33989999999999998</v>
      </c>
      <c r="M7" s="64">
        <f t="shared" si="2"/>
        <v>0.33989999999999998</v>
      </c>
      <c r="N7" s="63">
        <f t="shared" si="2"/>
        <v>0.33989999999999998</v>
      </c>
      <c r="O7" s="65">
        <f t="shared" si="2"/>
        <v>0.33989999999999998</v>
      </c>
      <c r="P7" s="64">
        <f t="shared" si="2"/>
        <v>0.33989999999999998</v>
      </c>
      <c r="Q7" s="63">
        <f t="shared" si="2"/>
        <v>0.33989999999999998</v>
      </c>
      <c r="R7" s="65">
        <f t="shared" si="2"/>
        <v>0.33989999999999998</v>
      </c>
      <c r="S7" s="1153"/>
      <c r="T7" s="47"/>
      <c r="U7" s="62">
        <v>0.33989999999999998</v>
      </c>
      <c r="V7" s="44">
        <f>$U$7</f>
        <v>0.33989999999999998</v>
      </c>
      <c r="W7" s="44">
        <f>$U$7</f>
        <v>0.33989999999999998</v>
      </c>
      <c r="X7" s="44">
        <f>$U$7</f>
        <v>0.33989999999999998</v>
      </c>
      <c r="Y7" s="45">
        <f>$U$7</f>
        <v>0.33989999999999998</v>
      </c>
      <c r="Z7" s="62" t="s">
        <v>10</v>
      </c>
      <c r="AA7" s="64"/>
      <c r="AB7" s="108"/>
      <c r="AC7" s="108"/>
      <c r="AD7" s="65"/>
      <c r="AE7" s="354"/>
      <c r="AF7" s="40"/>
      <c r="AG7" s="64"/>
      <c r="AH7" s="108"/>
      <c r="AI7" s="108"/>
      <c r="AJ7" s="354"/>
      <c r="AK7" s="1304"/>
    </row>
    <row r="8" spans="1:38" ht="13.15" customHeight="1">
      <c r="A8" s="216"/>
      <c r="B8" s="1838" t="s">
        <v>352</v>
      </c>
      <c r="C8" s="1839"/>
      <c r="D8" s="608">
        <f>HLOOKUP(D2,$E$66:$Q$67,2,FALSE)</f>
        <v>8</v>
      </c>
      <c r="E8" s="609">
        <f t="shared" ref="E8:R8" si="3">HLOOKUP(E2,$E$66:$Q$67,2,FALSE)</f>
        <v>8</v>
      </c>
      <c r="F8" s="638">
        <f t="shared" si="3"/>
        <v>8</v>
      </c>
      <c r="G8" s="608">
        <f>HLOOKUP(G2,$E$66:$Q$67,2,FALSE)</f>
        <v>8</v>
      </c>
      <c r="H8" s="609">
        <f t="shared" si="3"/>
        <v>8</v>
      </c>
      <c r="I8" s="638">
        <f t="shared" si="3"/>
        <v>8</v>
      </c>
      <c r="J8" s="608">
        <f>HLOOKUP(J2,$E$66:$Q$67,2,FALSE)</f>
        <v>8</v>
      </c>
      <c r="K8" s="609">
        <f t="shared" si="3"/>
        <v>8</v>
      </c>
      <c r="L8" s="638">
        <f t="shared" si="3"/>
        <v>8</v>
      </c>
      <c r="M8" s="608">
        <f>HLOOKUP(M2,$E$66:$Q$67,2,FALSE)</f>
        <v>8</v>
      </c>
      <c r="N8" s="609">
        <f t="shared" si="3"/>
        <v>8</v>
      </c>
      <c r="O8" s="638">
        <f t="shared" si="3"/>
        <v>8</v>
      </c>
      <c r="P8" s="608">
        <f>HLOOKUP(P2,$E$66:$Q$67,2,FALSE)</f>
        <v>8</v>
      </c>
      <c r="Q8" s="609">
        <f t="shared" si="3"/>
        <v>8</v>
      </c>
      <c r="R8" s="638">
        <f t="shared" si="3"/>
        <v>8</v>
      </c>
      <c r="S8" s="1155"/>
      <c r="T8" s="47"/>
      <c r="U8" s="71"/>
      <c r="V8" s="47"/>
      <c r="W8" s="69"/>
      <c r="X8" s="69"/>
      <c r="Y8" s="47"/>
      <c r="Z8" s="166"/>
      <c r="AA8" s="296"/>
      <c r="AB8" s="662"/>
      <c r="AC8" s="662"/>
      <c r="AD8" s="1554"/>
      <c r="AE8" s="387"/>
      <c r="AF8" s="662"/>
      <c r="AG8" s="296"/>
      <c r="AH8" s="662"/>
      <c r="AI8" s="662"/>
      <c r="AJ8" s="387"/>
    </row>
    <row r="9" spans="1:38" s="1005" customFormat="1" ht="13.15" customHeight="1">
      <c r="A9" s="216"/>
      <c r="B9" s="1840"/>
      <c r="C9" s="1841"/>
      <c r="D9" s="745" t="s">
        <v>3</v>
      </c>
      <c r="E9" s="746"/>
      <c r="F9" s="747"/>
      <c r="G9" s="745" t="s">
        <v>137</v>
      </c>
      <c r="H9" s="746"/>
      <c r="I9" s="747"/>
      <c r="J9" s="72" t="s">
        <v>168</v>
      </c>
      <c r="K9" s="746"/>
      <c r="L9" s="747"/>
      <c r="M9" s="745" t="s">
        <v>2</v>
      </c>
      <c r="N9" s="746"/>
      <c r="O9" s="747"/>
      <c r="P9" s="72" t="s">
        <v>76</v>
      </c>
      <c r="Q9" s="746"/>
      <c r="R9" s="747"/>
      <c r="S9" s="1155"/>
      <c r="T9" s="73"/>
      <c r="U9" s="736" t="s">
        <v>3</v>
      </c>
      <c r="V9" s="801" t="s">
        <v>168</v>
      </c>
      <c r="W9" s="751" t="s">
        <v>1</v>
      </c>
      <c r="X9" s="751" t="s">
        <v>2</v>
      </c>
      <c r="Y9" s="801" t="s">
        <v>76</v>
      </c>
      <c r="Z9" s="74"/>
      <c r="AA9" s="736" t="s">
        <v>410</v>
      </c>
      <c r="AB9" s="1019" t="s">
        <v>380</v>
      </c>
      <c r="AC9" s="1410" t="s">
        <v>381</v>
      </c>
      <c r="AD9" s="736" t="s">
        <v>531</v>
      </c>
      <c r="AE9" s="387"/>
      <c r="AF9" s="387"/>
      <c r="AG9" s="736" t="s">
        <v>410</v>
      </c>
      <c r="AH9" s="865" t="s">
        <v>380</v>
      </c>
      <c r="AI9" s="865" t="s">
        <v>381</v>
      </c>
      <c r="AJ9" s="736" t="s">
        <v>409</v>
      </c>
      <c r="AK9" s="1306"/>
      <c r="AL9" s="1006"/>
    </row>
    <row r="10" spans="1:38" s="1005" customFormat="1">
      <c r="A10" s="215" t="s">
        <v>178</v>
      </c>
      <c r="B10" s="737" t="s">
        <v>280</v>
      </c>
      <c r="C10" s="672" t="s">
        <v>176</v>
      </c>
      <c r="D10" s="661"/>
      <c r="E10" s="676" t="s">
        <v>135</v>
      </c>
      <c r="F10" s="677" t="s">
        <v>136</v>
      </c>
      <c r="G10" s="673"/>
      <c r="H10" s="676" t="s">
        <v>135</v>
      </c>
      <c r="I10" s="677" t="s">
        <v>136</v>
      </c>
      <c r="J10" s="673"/>
      <c r="K10" s="676" t="s">
        <v>135</v>
      </c>
      <c r="L10" s="677" t="s">
        <v>136</v>
      </c>
      <c r="M10" s="673"/>
      <c r="N10" s="676" t="s">
        <v>135</v>
      </c>
      <c r="O10" s="677" t="s">
        <v>136</v>
      </c>
      <c r="P10" s="673"/>
      <c r="Q10" s="676" t="s">
        <v>135</v>
      </c>
      <c r="R10" s="677" t="s">
        <v>136</v>
      </c>
      <c r="S10" s="1156">
        <f>IF(C10="Yes",1,0)</f>
        <v>1</v>
      </c>
      <c r="T10" s="606"/>
      <c r="U10" s="369"/>
      <c r="V10" s="130"/>
      <c r="W10" s="370"/>
      <c r="X10" s="370"/>
      <c r="Y10" s="130"/>
      <c r="Z10" s="387" t="s">
        <v>263</v>
      </c>
      <c r="AA10" s="1553" t="str">
        <f>IF($C$10="yes", "","OL")</f>
        <v/>
      </c>
      <c r="AB10" s="887"/>
      <c r="AC10" s="887"/>
      <c r="AD10" s="1555" t="str">
        <f>IF($C$10="yes", "","OL")</f>
        <v/>
      </c>
      <c r="AE10" s="387"/>
      <c r="AF10" s="662" t="s">
        <v>371</v>
      </c>
      <c r="AG10" s="1809" t="str">
        <f>IF($C$10="yes", "OL","")</f>
        <v>OL</v>
      </c>
      <c r="AH10" s="1810"/>
      <c r="AI10" s="1810"/>
      <c r="AJ10" s="1811"/>
      <c r="AK10" s="1307"/>
    </row>
    <row r="11" spans="1:38">
      <c r="A11" s="216" t="s">
        <v>347</v>
      </c>
      <c r="B11" s="1799" t="s">
        <v>254</v>
      </c>
      <c r="C11" s="1800"/>
      <c r="D11" s="76">
        <f t="shared" ref="D11:R11" si="4">$S$10*D84+(1-$S$10)*D85</f>
        <v>0.4</v>
      </c>
      <c r="E11" s="678">
        <f t="shared" si="4"/>
        <v>0.2</v>
      </c>
      <c r="F11" s="678">
        <f t="shared" si="4"/>
        <v>0.5</v>
      </c>
      <c r="G11" s="76">
        <f t="shared" si="4"/>
        <v>0.44444444444444442</v>
      </c>
      <c r="H11" s="678">
        <f t="shared" si="4"/>
        <v>0.3888888888888889</v>
      </c>
      <c r="I11" s="678">
        <f t="shared" si="4"/>
        <v>0.5</v>
      </c>
      <c r="J11" s="77">
        <f t="shared" si="4"/>
        <v>0.4729330941660323</v>
      </c>
      <c r="K11" s="678">
        <f t="shared" si="4"/>
        <v>0.42293309416603231</v>
      </c>
      <c r="L11" s="678">
        <f t="shared" si="4"/>
        <v>0.52293309416603229</v>
      </c>
      <c r="M11" s="76">
        <f t="shared" si="4"/>
        <v>0.28041293785321875</v>
      </c>
      <c r="N11" s="678">
        <f t="shared" si="4"/>
        <v>0.2</v>
      </c>
      <c r="O11" s="678">
        <f t="shared" si="4"/>
        <v>0.4561905930983241</v>
      </c>
      <c r="P11" s="77">
        <f t="shared" si="4"/>
        <v>0.27500000000000002</v>
      </c>
      <c r="Q11" s="678">
        <f t="shared" si="4"/>
        <v>0.25</v>
      </c>
      <c r="R11" s="678">
        <f t="shared" si="4"/>
        <v>0.3</v>
      </c>
      <c r="S11" s="1155"/>
      <c r="T11" s="73"/>
      <c r="U11" s="78">
        <v>0.32</v>
      </c>
      <c r="V11" s="77">
        <v>0.4</v>
      </c>
      <c r="W11" s="78">
        <v>0.25</v>
      </c>
      <c r="X11" s="78">
        <v>0.25</v>
      </c>
      <c r="Y11" s="77">
        <v>0.25</v>
      </c>
      <c r="Z11" s="310" t="s">
        <v>172</v>
      </c>
      <c r="AA11" s="53">
        <f>'FINAL BIPT &amp; Cullen 2014'!D11-D11</f>
        <v>1.9999999999999962E-2</v>
      </c>
      <c r="AB11" s="1413">
        <f>'FINAL BIPT &amp; Cullen 2014'!J11-J11</f>
        <v>-5.2933094166032313E-2</v>
      </c>
      <c r="AC11" s="1413">
        <f>'FINAL BIPT &amp; Cullen 2014'!P11-P11</f>
        <v>0.14499999999999996</v>
      </c>
      <c r="AD11" s="55">
        <f>'FINAL BIPT &amp; Cullen 2014'!G11-G11</f>
        <v>-2.4444444444444435E-2</v>
      </c>
      <c r="AE11" s="313"/>
      <c r="AF11" s="310" t="s">
        <v>172</v>
      </c>
      <c r="AG11" s="689">
        <f>D11-U11</f>
        <v>8.0000000000000016E-2</v>
      </c>
      <c r="AH11" s="716">
        <f>J11-V11</f>
        <v>7.2933094166032275E-2</v>
      </c>
      <c r="AI11" s="716">
        <f>P11-Y11</f>
        <v>2.5000000000000022E-2</v>
      </c>
      <c r="AJ11" s="313">
        <f>M11-X11</f>
        <v>3.0412937853218747E-2</v>
      </c>
      <c r="AK11" s="1308"/>
    </row>
    <row r="12" spans="1:38">
      <c r="A12" s="215"/>
      <c r="B12" s="1842" t="s">
        <v>256</v>
      </c>
      <c r="C12" s="1843"/>
      <c r="D12" s="725">
        <f t="shared" ref="D12:R12" si="5">D11/(1-D11)</f>
        <v>0.66666666666666674</v>
      </c>
      <c r="E12" s="726">
        <f t="shared" si="5"/>
        <v>0.25</v>
      </c>
      <c r="F12" s="727">
        <f t="shared" si="5"/>
        <v>1</v>
      </c>
      <c r="G12" s="725">
        <f t="shared" si="5"/>
        <v>0.79999999999999993</v>
      </c>
      <c r="H12" s="726">
        <f t="shared" si="5"/>
        <v>0.63636363636363635</v>
      </c>
      <c r="I12" s="727">
        <f t="shared" si="5"/>
        <v>1</v>
      </c>
      <c r="J12" s="725">
        <f t="shared" si="5"/>
        <v>0.89729233410646325</v>
      </c>
      <c r="K12" s="726">
        <f t="shared" si="5"/>
        <v>0.73290131506470002</v>
      </c>
      <c r="L12" s="727">
        <f t="shared" si="5"/>
        <v>1.0961420458455093</v>
      </c>
      <c r="M12" s="725">
        <f t="shared" si="5"/>
        <v>0.38968590821609317</v>
      </c>
      <c r="N12" s="726">
        <f t="shared" si="5"/>
        <v>0.25</v>
      </c>
      <c r="O12" s="727">
        <f t="shared" si="5"/>
        <v>0.83887955469075981</v>
      </c>
      <c r="P12" s="725">
        <f t="shared" si="5"/>
        <v>0.37931034482758624</v>
      </c>
      <c r="Q12" s="726">
        <f t="shared" si="5"/>
        <v>0.33333333333333331</v>
      </c>
      <c r="R12" s="727">
        <f t="shared" si="5"/>
        <v>0.4285714285714286</v>
      </c>
      <c r="S12" s="1157"/>
      <c r="T12" s="662"/>
      <c r="U12" s="371">
        <f>U11/(1-U11)</f>
        <v>0.4705882352941177</v>
      </c>
      <c r="V12" s="372">
        <f>V11/(1-V11)</f>
        <v>0.66666666666666674</v>
      </c>
      <c r="W12" s="372">
        <f>W11/(1-W11)</f>
        <v>0.33333333333333331</v>
      </c>
      <c r="X12" s="372">
        <f>X11/(1-X11)</f>
        <v>0.33333333333333331</v>
      </c>
      <c r="Y12" s="372">
        <f>Y11/(1-Y11)</f>
        <v>0.33333333333333331</v>
      </c>
      <c r="Z12" s="373" t="s">
        <v>364</v>
      </c>
      <c r="AA12" s="297"/>
      <c r="AB12" s="79"/>
      <c r="AC12" s="79"/>
      <c r="AD12" s="1556"/>
      <c r="AE12" s="313"/>
      <c r="AF12" s="79"/>
      <c r="AG12" s="297"/>
      <c r="AH12" s="79"/>
      <c r="AI12" s="79"/>
      <c r="AJ12" s="313"/>
      <c r="AK12" s="1308"/>
    </row>
    <row r="13" spans="1:38" ht="13.15" customHeight="1">
      <c r="A13" s="215"/>
      <c r="B13" s="661"/>
      <c r="C13" s="662"/>
      <c r="D13" s="80"/>
      <c r="E13" s="33" t="s">
        <v>169</v>
      </c>
      <c r="F13" s="679" t="s">
        <v>170</v>
      </c>
      <c r="G13" s="80"/>
      <c r="H13" s="33" t="s">
        <v>169</v>
      </c>
      <c r="I13" s="679" t="s">
        <v>170</v>
      </c>
      <c r="J13" s="80"/>
      <c r="K13" s="33" t="s">
        <v>169</v>
      </c>
      <c r="L13" s="679" t="s">
        <v>170</v>
      </c>
      <c r="M13" s="80"/>
      <c r="N13" s="33" t="s">
        <v>169</v>
      </c>
      <c r="O13" s="679" t="s">
        <v>170</v>
      </c>
      <c r="P13" s="80"/>
      <c r="Q13" s="33" t="s">
        <v>169</v>
      </c>
      <c r="R13" s="679" t="s">
        <v>170</v>
      </c>
      <c r="S13" s="1157"/>
      <c r="T13" s="662"/>
      <c r="U13" s="689"/>
      <c r="V13" s="79"/>
      <c r="W13" s="79"/>
      <c r="X13" s="79"/>
      <c r="Y13" s="79"/>
      <c r="Z13" s="313"/>
      <c r="AA13" s="297"/>
      <c r="AB13" s="79"/>
      <c r="AC13" s="79"/>
      <c r="AD13" s="1556"/>
      <c r="AE13" s="313"/>
      <c r="AF13" s="79"/>
      <c r="AG13" s="297"/>
      <c r="AH13" s="79"/>
      <c r="AI13" s="79"/>
      <c r="AJ13" s="313"/>
      <c r="AK13" s="1308"/>
    </row>
    <row r="14" spans="1:38" s="1007" customFormat="1">
      <c r="A14" s="216" t="s">
        <v>138</v>
      </c>
      <c r="B14" s="1799" t="s">
        <v>167</v>
      </c>
      <c r="C14" s="1800"/>
      <c r="D14" s="76" t="str">
        <f t="shared" ref="D14:J14" si="6">IF($S$10&gt;50%,D86,D87)</f>
        <v>A-</v>
      </c>
      <c r="E14" s="678" t="str">
        <f t="shared" si="6"/>
        <v>A</v>
      </c>
      <c r="F14" s="678" t="str">
        <f t="shared" si="6"/>
        <v>BBB+</v>
      </c>
      <c r="G14" s="76" t="str">
        <f t="shared" si="6"/>
        <v>B+</v>
      </c>
      <c r="H14" s="678" t="str">
        <f t="shared" si="6"/>
        <v>BB-</v>
      </c>
      <c r="I14" s="678" t="str">
        <f t="shared" si="6"/>
        <v>B+</v>
      </c>
      <c r="J14" s="77" t="str">
        <f t="shared" si="6"/>
        <v>BBB</v>
      </c>
      <c r="K14" s="678" t="str">
        <f>IF($S$10&gt;50%,K86,K87)</f>
        <v>BBB+</v>
      </c>
      <c r="L14" s="678" t="str">
        <f>IF($S$10&gt;50%,L86,L87)</f>
        <v>BBB-</v>
      </c>
      <c r="M14" s="76" t="str">
        <f>IF($S$10&gt;50%,M86,M87)</f>
        <v>BBB</v>
      </c>
      <c r="N14" s="678" t="str">
        <f>IF($S$10&gt;50%,N86,N87)</f>
        <v>BBB+</v>
      </c>
      <c r="O14" s="678" t="str">
        <f>IF($S$10&gt;50%,O86,O87)</f>
        <v>BBB-</v>
      </c>
      <c r="P14" s="77" t="s">
        <v>140</v>
      </c>
      <c r="Q14" s="678" t="str">
        <f>IF($S$10&gt;50%,Q86,Q87)</f>
        <v>BBB+</v>
      </c>
      <c r="R14" s="678" t="str">
        <f>IF($S$10&gt;50%,R86,R87)</f>
        <v>BBB-</v>
      </c>
      <c r="S14" s="1155"/>
      <c r="T14" s="662"/>
      <c r="U14" s="690" t="s">
        <v>139</v>
      </c>
      <c r="V14" s="691" t="s">
        <v>142</v>
      </c>
      <c r="W14" s="691" t="s">
        <v>139</v>
      </c>
      <c r="X14" s="691" t="s">
        <v>143</v>
      </c>
      <c r="Y14" s="691" t="s">
        <v>143</v>
      </c>
      <c r="Z14" s="692" t="s">
        <v>257</v>
      </c>
      <c r="AA14" s="661" t="str">
        <f>CONCATENATE(-('FINAL BIPT &amp; Cullen 2014'!D18-D18)," notch")</f>
        <v>0 notch</v>
      </c>
      <c r="AB14" s="1411" t="str">
        <f>CONCATENATE(-('FINAL BIPT &amp; Cullen 2014'!J18-J18)," notch")</f>
        <v>0 notch</v>
      </c>
      <c r="AC14" s="1411" t="str">
        <f>CONCATENATE(-('FINAL BIPT &amp; Cullen 2014'!P18-P18)," notch")</f>
        <v>-1 notch</v>
      </c>
      <c r="AD14" s="387" t="str">
        <f>CONCATENATE(-('FINAL BIPT &amp; Cullen 2014'!G18-G18)," notch")</f>
        <v>1 notch</v>
      </c>
      <c r="AE14" s="387"/>
      <c r="AF14" s="311" t="s">
        <v>257</v>
      </c>
      <c r="AG14" s="661" t="str">
        <f>CONCATENATE(D18-U18," notch")</f>
        <v>1 notch</v>
      </c>
      <c r="AH14" s="711" t="str">
        <f>CONCATENATE(J18-V18," notch")</f>
        <v>1 notch</v>
      </c>
      <c r="AI14" s="711" t="str">
        <f>CONCATENATE(P18-Y18," notch")</f>
        <v>2 notch</v>
      </c>
      <c r="AJ14" s="387" t="str">
        <f>CONCATENATE(M18-X18," notch")</f>
        <v>2 notch</v>
      </c>
      <c r="AK14" s="1309"/>
    </row>
    <row r="15" spans="1:38">
      <c r="A15" s="219" t="s">
        <v>14</v>
      </c>
      <c r="B15" s="1822" t="s">
        <v>359</v>
      </c>
      <c r="C15" s="1823"/>
      <c r="D15" s="50">
        <f>D17-D16-D3</f>
        <v>1.2381910828025474E-2</v>
      </c>
      <c r="E15" s="57">
        <f>E17-E16-E3</f>
        <v>1.0628369426751581E-2</v>
      </c>
      <c r="F15" s="128">
        <f t="shared" ref="F15:R15" si="7">F17-F16-F3</f>
        <v>1.8894970605862815E-2</v>
      </c>
      <c r="G15" s="50">
        <f t="shared" si="7"/>
        <v>6.5122033885350317E-2</v>
      </c>
      <c r="H15" s="57">
        <f t="shared" si="7"/>
        <v>5.2040844585987248E-2</v>
      </c>
      <c r="I15" s="128">
        <f t="shared" si="7"/>
        <v>6.9881552261913754E-2</v>
      </c>
      <c r="J15" s="50">
        <f t="shared" si="7"/>
        <v>1.664773248407642E-2</v>
      </c>
      <c r="K15" s="57">
        <f t="shared" si="7"/>
        <v>1.4135452229299374E-2</v>
      </c>
      <c r="L15" s="128">
        <f t="shared" si="7"/>
        <v>2.7731053408410561E-2</v>
      </c>
      <c r="M15" s="50">
        <f t="shared" si="7"/>
        <v>1.664773248407642E-2</v>
      </c>
      <c r="N15" s="57">
        <f t="shared" si="7"/>
        <v>1.4135452229299374E-2</v>
      </c>
      <c r="O15" s="128">
        <f t="shared" si="7"/>
        <v>2.7731053408410561E-2</v>
      </c>
      <c r="P15" s="50">
        <f t="shared" si="7"/>
        <v>1.664773248407642E-2</v>
      </c>
      <c r="Q15" s="57">
        <f t="shared" si="7"/>
        <v>1.4135452229299374E-2</v>
      </c>
      <c r="R15" s="128">
        <f t="shared" si="7"/>
        <v>2.7731053408410561E-2</v>
      </c>
      <c r="S15" s="1155"/>
      <c r="T15" s="73"/>
      <c r="U15" s="81">
        <v>1.2999999999999999E-2</v>
      </c>
      <c r="V15" s="58">
        <v>1.4999999999999999E-2</v>
      </c>
      <c r="W15" s="81">
        <v>1.2999999999999999E-2</v>
      </c>
      <c r="X15" s="81">
        <v>1.2999999999999999E-2</v>
      </c>
      <c r="Y15" s="58">
        <v>1.2999999999999999E-2</v>
      </c>
      <c r="Z15" s="311" t="s">
        <v>359</v>
      </c>
      <c r="AA15" s="32">
        <f>'FINAL BIPT &amp; Cullen 2014'!D15-D15</f>
        <v>0</v>
      </c>
      <c r="AB15" s="712">
        <f>'FINAL BIPT &amp; Cullen 2014'!J15-J15</f>
        <v>0</v>
      </c>
      <c r="AC15" s="712">
        <f>'FINAL BIPT &amp; Cullen 2014'!P15-P15</f>
        <v>6.3238025477707072E-3</v>
      </c>
      <c r="AD15" s="354">
        <f>'FINAL BIPT &amp; Cullen 2014'!G15-G15</f>
        <v>-1.3081189299363069E-2</v>
      </c>
      <c r="AE15" s="387"/>
      <c r="AF15" s="311" t="s">
        <v>359</v>
      </c>
      <c r="AG15" s="32">
        <f>D15-U15</f>
        <v>-6.1808917197452538E-4</v>
      </c>
      <c r="AH15" s="712">
        <f>J15-V15</f>
        <v>1.6477324840764203E-3</v>
      </c>
      <c r="AI15" s="712">
        <f>P15-Y15</f>
        <v>3.6477324840764203E-3</v>
      </c>
      <c r="AJ15" s="354">
        <f>M15-X15</f>
        <v>3.6477324840764203E-3</v>
      </c>
      <c r="AK15" s="1304"/>
    </row>
    <row r="16" spans="1:38" s="1005" customFormat="1">
      <c r="A16" s="74" t="s">
        <v>144</v>
      </c>
      <c r="B16" s="1799" t="s">
        <v>145</v>
      </c>
      <c r="C16" s="1800"/>
      <c r="D16" s="62">
        <f>$J$16</f>
        <v>1.5E-3</v>
      </c>
      <c r="E16" s="251">
        <f>D16</f>
        <v>1.5E-3</v>
      </c>
      <c r="F16" s="251">
        <f>D16</f>
        <v>1.5E-3</v>
      </c>
      <c r="G16" s="62">
        <f>$J$16</f>
        <v>1.5E-3</v>
      </c>
      <c r="H16" s="251">
        <f>G16</f>
        <v>1.5E-3</v>
      </c>
      <c r="I16" s="251">
        <f>G16</f>
        <v>1.5E-3</v>
      </c>
      <c r="J16" s="195">
        <f>$D$79/100</f>
        <v>1.5E-3</v>
      </c>
      <c r="K16" s="251">
        <f>J16</f>
        <v>1.5E-3</v>
      </c>
      <c r="L16" s="251">
        <f>J16</f>
        <v>1.5E-3</v>
      </c>
      <c r="M16" s="62">
        <f>$J$16</f>
        <v>1.5E-3</v>
      </c>
      <c r="N16" s="251">
        <f>M16</f>
        <v>1.5E-3</v>
      </c>
      <c r="O16" s="251">
        <f>M16</f>
        <v>1.5E-3</v>
      </c>
      <c r="P16" s="195">
        <f>$D$79/100</f>
        <v>1.5E-3</v>
      </c>
      <c r="Q16" s="251">
        <f>P16</f>
        <v>1.5E-3</v>
      </c>
      <c r="R16" s="251">
        <f>P16</f>
        <v>1.5E-3</v>
      </c>
      <c r="S16" s="1153"/>
      <c r="T16" s="662"/>
      <c r="U16" s="374">
        <v>2E-3</v>
      </c>
      <c r="V16" s="374">
        <v>2E-3</v>
      </c>
      <c r="W16" s="374">
        <v>2E-3</v>
      </c>
      <c r="X16" s="374">
        <v>2E-3</v>
      </c>
      <c r="Y16" s="374">
        <v>2E-3</v>
      </c>
      <c r="Z16" s="62" t="s">
        <v>145</v>
      </c>
      <c r="AA16" s="32">
        <f>'FINAL BIPT &amp; Cullen 2014'!D16-D16</f>
        <v>0</v>
      </c>
      <c r="AB16" s="712">
        <f>'FINAL BIPT &amp; Cullen 2014'!J16-J16</f>
        <v>0</v>
      </c>
      <c r="AC16" s="712">
        <f>'FINAL BIPT &amp; Cullen 2014'!P16-P16</f>
        <v>0</v>
      </c>
      <c r="AD16" s="354">
        <f>'FINAL BIPT &amp; Cullen 2014'!G16-G16</f>
        <v>0</v>
      </c>
      <c r="AE16" s="354"/>
      <c r="AF16" s="62" t="s">
        <v>145</v>
      </c>
      <c r="AG16" s="32">
        <f>D16-U16</f>
        <v>-5.0000000000000001E-4</v>
      </c>
      <c r="AH16" s="712">
        <f>J16-U16</f>
        <v>-5.0000000000000001E-4</v>
      </c>
      <c r="AI16" s="712">
        <f>P16-Y16</f>
        <v>-5.0000000000000001E-4</v>
      </c>
      <c r="AJ16" s="354">
        <f>M16-X16</f>
        <v>-5.0000000000000001E-4</v>
      </c>
      <c r="AK16" s="1304"/>
    </row>
    <row r="17" spans="1:37" s="1008" customFormat="1">
      <c r="A17" s="220" t="s">
        <v>16</v>
      </c>
      <c r="B17" s="1398" t="s">
        <v>360</v>
      </c>
      <c r="C17" s="1399"/>
      <c r="D17" s="1396">
        <f>INDEX($E$68:$Q$78,D18,D8)/100+D16</f>
        <v>4.0185066147264081E-2</v>
      </c>
      <c r="E17" s="1397">
        <f>INDEX($E$68:$Q$78,E18,E8)/100+E16+(E3-D3)</f>
        <v>3.367200636942675E-2</v>
      </c>
      <c r="F17" s="128">
        <f>INDEX($E$68:$Q$78,F18,F8)/100+F16+(F3-E3)</f>
        <v>5.5186173140364503E-2</v>
      </c>
      <c r="G17" s="1396">
        <f>INDEX($E$68:$Q$78,G18,G8)/100+G16</f>
        <v>9.2925189204588921E-2</v>
      </c>
      <c r="H17" s="1397">
        <f>INDEX($E$68:$Q$78,H18,H8)/100+H16+(H3-G3)</f>
        <v>7.5084481528662414E-2</v>
      </c>
      <c r="I17" s="128">
        <f>INDEX($E$68:$Q$78,I18,I8)/100+I16+(I3-H3)</f>
        <v>0.10617275479641544</v>
      </c>
      <c r="J17" s="1396">
        <f>INDEX($E$68:$Q$78,J18,J8)/100+J16</f>
        <v>4.4450887803315027E-2</v>
      </c>
      <c r="K17" s="1397">
        <f>INDEX($E$68:$Q$78,K18,K8)/100+K16+(K3-J3)</f>
        <v>3.7179089171974544E-2</v>
      </c>
      <c r="L17" s="128">
        <f>INDEX($E$68:$Q$78,L18,L8)/100+L16+(L3-K3)</f>
        <v>6.4022255942912248E-2</v>
      </c>
      <c r="M17" s="1396">
        <f>INDEX($E$68:$Q$78,M18,M8)/100+M16</f>
        <v>4.4450887803315027E-2</v>
      </c>
      <c r="N17" s="1397">
        <f>INDEX($E$68:$Q$78,N18,N8)/100+N16+(N3-M3)</f>
        <v>3.7179089171974544E-2</v>
      </c>
      <c r="O17" s="128">
        <f>INDEX($E$68:$Q$78,O18,O8)/100+O16+(O3-N3)</f>
        <v>6.4022255942912248E-2</v>
      </c>
      <c r="P17" s="1396">
        <f>INDEX($E$68:$Q$78,P18,P8)/100+P16</f>
        <v>4.4450887803315027E-2</v>
      </c>
      <c r="Q17" s="1397">
        <f>INDEX($E$68:$Q$78,Q18,Q8)/100+Q16+(Q3-P3)</f>
        <v>3.7179089171974544E-2</v>
      </c>
      <c r="R17" s="128">
        <f>INDEX($E$68:$Q$78,R18,R8)/100+R16+(R3-Q3)</f>
        <v>6.4022255942912248E-2</v>
      </c>
      <c r="S17" s="1154"/>
      <c r="T17" s="73"/>
      <c r="U17" s="694">
        <f>U3+U15+U16</f>
        <v>5.5E-2</v>
      </c>
      <c r="V17" s="695">
        <f>V3+V15+V16</f>
        <v>5.7000000000000002E-2</v>
      </c>
      <c r="W17" s="695">
        <f>W3+W15+W16</f>
        <v>5.5E-2</v>
      </c>
      <c r="X17" s="695">
        <f>X3+X15+X16</f>
        <v>5.5E-2</v>
      </c>
      <c r="Y17" s="695">
        <f>Y3+Y15+Y16</f>
        <v>5.5E-2</v>
      </c>
      <c r="Z17" s="693" t="s">
        <v>258</v>
      </c>
      <c r="AA17" s="32">
        <f>'FINAL BIPT &amp; Cullen 2014'!D17-D17</f>
        <v>0</v>
      </c>
      <c r="AB17" s="82">
        <f>'FINAL BIPT &amp; Cullen 2014'!J17-J17</f>
        <v>0</v>
      </c>
      <c r="AC17" s="82">
        <f>'FINAL BIPT &amp; Cullen 2014'!P17-P17</f>
        <v>6.3238025477707072E-3</v>
      </c>
      <c r="AD17" s="354">
        <f>'FINAL BIPT &amp; Cullen 2014'!G17-G17</f>
        <v>-1.3081189299363069E-2</v>
      </c>
      <c r="AE17" s="425"/>
      <c r="AF17" s="453" t="s">
        <v>258</v>
      </c>
      <c r="AG17" s="50">
        <f>D17-U17</f>
        <v>-1.4814933852735919E-2</v>
      </c>
      <c r="AH17" s="82">
        <f>J17-V17</f>
        <v>-1.2549112196684975E-2</v>
      </c>
      <c r="AI17" s="82">
        <f>P17-Y17</f>
        <v>-1.0549112196684973E-2</v>
      </c>
      <c r="AJ17" s="83">
        <f>M17-X17</f>
        <v>-1.0549112196684973E-2</v>
      </c>
      <c r="AK17" s="1305"/>
    </row>
    <row r="18" spans="1:37" s="1007" customFormat="1">
      <c r="A18" s="218"/>
      <c r="B18" s="1824" t="s">
        <v>350</v>
      </c>
      <c r="C18" s="1825"/>
      <c r="D18" s="1393">
        <f>VLOOKUP(D14,$C$68:$D$78,2,FALSE)</f>
        <v>2</v>
      </c>
      <c r="E18" s="1394">
        <f t="shared" ref="E18:R18" si="8">VLOOKUP(E14,$C$68:$D$78,2,FALSE)</f>
        <v>1</v>
      </c>
      <c r="F18" s="1395">
        <f t="shared" si="8"/>
        <v>3</v>
      </c>
      <c r="G18" s="1393">
        <f>VLOOKUP(G14,$C$68:$D$78,2,FALSE)</f>
        <v>9</v>
      </c>
      <c r="H18" s="1394">
        <f t="shared" si="8"/>
        <v>8</v>
      </c>
      <c r="I18" s="1395">
        <f t="shared" si="8"/>
        <v>9</v>
      </c>
      <c r="J18" s="1393">
        <f>VLOOKUP(J14,$C$68:$D$78,2,FALSE)</f>
        <v>4</v>
      </c>
      <c r="K18" s="1394">
        <f t="shared" si="8"/>
        <v>3</v>
      </c>
      <c r="L18" s="1395">
        <f t="shared" si="8"/>
        <v>5</v>
      </c>
      <c r="M18" s="1393">
        <f>VLOOKUP(M14,$C$68:$D$78,2,FALSE)</f>
        <v>4</v>
      </c>
      <c r="N18" s="1394">
        <f t="shared" si="8"/>
        <v>3</v>
      </c>
      <c r="O18" s="1395">
        <f t="shared" si="8"/>
        <v>5</v>
      </c>
      <c r="P18" s="1393">
        <f>VLOOKUP(P14,$C$68:$D$78,2,FALSE)</f>
        <v>4</v>
      </c>
      <c r="Q18" s="1394">
        <f t="shared" si="8"/>
        <v>3</v>
      </c>
      <c r="R18" s="1395">
        <f t="shared" si="8"/>
        <v>5</v>
      </c>
      <c r="S18" s="1158"/>
      <c r="T18" s="545"/>
      <c r="U18" s="771">
        <v>1</v>
      </c>
      <c r="V18" s="772">
        <v>3</v>
      </c>
      <c r="W18" s="772">
        <v>1</v>
      </c>
      <c r="X18" s="772">
        <v>2</v>
      </c>
      <c r="Y18" s="772">
        <v>2</v>
      </c>
      <c r="Z18" s="696"/>
      <c r="AA18" s="604"/>
      <c r="AB18" s="545"/>
      <c r="AC18" s="545"/>
      <c r="AD18" s="1557"/>
      <c r="AE18" s="603"/>
      <c r="AF18" s="552"/>
      <c r="AG18" s="604"/>
      <c r="AH18" s="545"/>
      <c r="AI18" s="545"/>
      <c r="AJ18" s="546"/>
      <c r="AK18" s="1310"/>
    </row>
    <row r="19" spans="1:37" s="1007" customFormat="1">
      <c r="A19" s="218"/>
      <c r="B19" s="1807"/>
      <c r="C19" s="1808"/>
      <c r="D19" s="567"/>
      <c r="E19" s="558" t="s">
        <v>135</v>
      </c>
      <c r="F19" s="688" t="s">
        <v>136</v>
      </c>
      <c r="G19" s="567"/>
      <c r="H19" s="558" t="s">
        <v>135</v>
      </c>
      <c r="I19" s="688" t="s">
        <v>136</v>
      </c>
      <c r="J19" s="567"/>
      <c r="K19" s="558" t="s">
        <v>135</v>
      </c>
      <c r="L19" s="688" t="s">
        <v>136</v>
      </c>
      <c r="M19" s="567"/>
      <c r="N19" s="558" t="s">
        <v>135</v>
      </c>
      <c r="O19" s="688" t="s">
        <v>136</v>
      </c>
      <c r="P19" s="567"/>
      <c r="Q19" s="558" t="s">
        <v>135</v>
      </c>
      <c r="R19" s="688" t="s">
        <v>136</v>
      </c>
      <c r="S19" s="1158"/>
      <c r="T19" s="545"/>
      <c r="U19" s="685"/>
      <c r="V19" s="686"/>
      <c r="W19" s="686"/>
      <c r="X19" s="686"/>
      <c r="Y19" s="686"/>
      <c r="Z19" s="546"/>
      <c r="AA19" s="604"/>
      <c r="AB19" s="605"/>
      <c r="AC19" s="605"/>
      <c r="AD19" s="1557"/>
      <c r="AE19" s="546"/>
      <c r="AF19" s="545"/>
      <c r="AG19" s="604"/>
      <c r="AH19" s="605"/>
      <c r="AI19" s="605"/>
      <c r="AJ19" s="546"/>
      <c r="AK19" s="1310"/>
    </row>
    <row r="20" spans="1:37">
      <c r="A20" s="216" t="s">
        <v>6</v>
      </c>
      <c r="B20" s="671" t="s">
        <v>146</v>
      </c>
      <c r="C20" s="191" t="s">
        <v>11</v>
      </c>
      <c r="D20" s="85">
        <f>IF($S$20=1,$S$10*D92+(1-$S$10)*D93,$S$10*D98+(1-$S$10)*D99)</f>
        <v>0.5</v>
      </c>
      <c r="E20" s="680">
        <f t="shared" ref="E20:R20" si="9">IF($S$20=1,$S$10*E92+(1-$S$10)*E93,$S$10*E98+(1-$S$10)*E99)</f>
        <v>0.47499999999999998</v>
      </c>
      <c r="F20" s="680">
        <f t="shared" si="9"/>
        <v>0.52500000000000002</v>
      </c>
      <c r="G20" s="85">
        <f t="shared" si="9"/>
        <v>0.6</v>
      </c>
      <c r="H20" s="680">
        <f t="shared" si="9"/>
        <v>0.57499999999999996</v>
      </c>
      <c r="I20" s="680">
        <f t="shared" si="9"/>
        <v>0.625</v>
      </c>
      <c r="J20" s="86">
        <f t="shared" si="9"/>
        <v>0.6</v>
      </c>
      <c r="K20" s="680">
        <f t="shared" si="9"/>
        <v>0.57499999999999996</v>
      </c>
      <c r="L20" s="680">
        <f t="shared" si="9"/>
        <v>0.625</v>
      </c>
      <c r="M20" s="85">
        <f t="shared" si="9"/>
        <v>0.6</v>
      </c>
      <c r="N20" s="680">
        <f t="shared" si="9"/>
        <v>0.57499999999999996</v>
      </c>
      <c r="O20" s="680">
        <f t="shared" si="9"/>
        <v>0.625</v>
      </c>
      <c r="P20" s="86">
        <f t="shared" si="9"/>
        <v>0.6</v>
      </c>
      <c r="Q20" s="680">
        <f t="shared" si="9"/>
        <v>0.57499999999999996</v>
      </c>
      <c r="R20" s="680">
        <f t="shared" si="9"/>
        <v>0.625</v>
      </c>
      <c r="S20" s="1156">
        <f>IF($B$20="Hamada",100%,0%)</f>
        <v>1</v>
      </c>
      <c r="T20" s="606"/>
      <c r="U20" s="728">
        <f>U23/(1+(1-U7)*U12)</f>
        <v>0.58346199418333278</v>
      </c>
      <c r="V20" s="729">
        <f>V23/(1+(1-V7)*V12)</f>
        <v>0.57867691310587477</v>
      </c>
      <c r="W20" s="729">
        <f>W23/(1+(1-W7)*W12)</f>
        <v>0.60107647332040115</v>
      </c>
      <c r="X20" s="729">
        <f>X23/(1+(1-X7)*X12)</f>
        <v>0.6120051364716812</v>
      </c>
      <c r="Y20" s="729">
        <f>Y23/(1+(1-Y7)*Y12)</f>
        <v>0.60107647332040115</v>
      </c>
      <c r="Z20" s="692" t="s">
        <v>324</v>
      </c>
      <c r="AA20" s="713">
        <f>IF($S$20=1,'FINAL BIPT &amp; Cullen 2014'!D20-D20,'FINAL BIPT &amp; Cullen 2014'!D20-D21)</f>
        <v>0</v>
      </c>
      <c r="AB20" s="1414">
        <f>IF($S$20=1,'FINAL BIPT &amp; Cullen 2014'!J20-J20,'FINAL BIPT &amp; Cullen 2014'!J20-J21)</f>
        <v>0</v>
      </c>
      <c r="AC20" s="1414">
        <f>IF($S$20=1,'FINAL BIPT &amp; Cullen 2014'!P20-P20,'FINAL BIPT &amp; Cullen 2014'!P20-P21)</f>
        <v>0</v>
      </c>
      <c r="AD20" s="376">
        <f>IF($S$20=1,'FINAL BIPT &amp; Cullen 2014'!G20-G20,'FINAL BIPT &amp; Cullen 2014'!G20-G21)</f>
        <v>0</v>
      </c>
      <c r="AE20" s="387"/>
      <c r="AF20" s="311" t="s">
        <v>375</v>
      </c>
      <c r="AG20" s="713">
        <f>IF($S$20=1,D20-U20,D21-U20)</f>
        <v>-8.3461994183332777E-2</v>
      </c>
      <c r="AH20" s="714">
        <f>IF($S$20=1,J20-V20,J21-V20)</f>
        <v>2.1323086894125209E-2</v>
      </c>
      <c r="AI20" s="714">
        <f>IF($S$20=1,P20-Y20,P21-Y20)</f>
        <v>-1.0764733204011723E-3</v>
      </c>
      <c r="AJ20" s="376">
        <f>IF($S$20=1,M20-X20,M21-X20)</f>
        <v>-1.2005136471681221E-2</v>
      </c>
      <c r="AK20" s="1311"/>
    </row>
    <row r="21" spans="1:37">
      <c r="A21" s="215"/>
      <c r="B21" s="363" t="str">
        <f>IF(S20=1, "(Harris-P equivalent)", "(Hamada equivalent)")</f>
        <v>(Harris-P equivalent)</v>
      </c>
      <c r="C21" s="662"/>
      <c r="D21" s="89">
        <f t="shared" ref="D21:R21" si="10">D23/(1+(1-(1-$S$20)*D7)*D12)</f>
        <v>0.38651881709439689</v>
      </c>
      <c r="E21" s="90">
        <f t="shared" si="10"/>
        <v>0.42280132213134608</v>
      </c>
      <c r="F21" s="91">
        <f t="shared" si="10"/>
        <v>0.34833773275982655</v>
      </c>
      <c r="G21" s="89">
        <f t="shared" si="10"/>
        <v>0.39200561387051036</v>
      </c>
      <c r="H21" s="90">
        <f t="shared" si="10"/>
        <v>0.40087279720583147</v>
      </c>
      <c r="I21" s="91">
        <f t="shared" si="10"/>
        <v>0.37170826721246158</v>
      </c>
      <c r="J21" s="89">
        <f t="shared" si="10"/>
        <v>0.43439796948340276</v>
      </c>
      <c r="K21" s="90">
        <f t="shared" si="10"/>
        <v>0.43317149559936213</v>
      </c>
      <c r="L21" s="91">
        <f t="shared" si="10"/>
        <v>0.39072006535408976</v>
      </c>
      <c r="M21" s="89">
        <f t="shared" si="10"/>
        <v>0.50181073715404911</v>
      </c>
      <c r="N21" s="90">
        <f t="shared" si="10"/>
        <v>0.50793099719221313</v>
      </c>
      <c r="O21" s="91">
        <f t="shared" si="10"/>
        <v>0.42062145993532973</v>
      </c>
      <c r="P21" s="89">
        <f t="shared" si="10"/>
        <v>0.50370612893485445</v>
      </c>
      <c r="Q21" s="90">
        <f t="shared" si="10"/>
        <v>0.49116374649026656</v>
      </c>
      <c r="R21" s="91">
        <f t="shared" si="10"/>
        <v>0.49059661039265229</v>
      </c>
      <c r="S21" s="1156"/>
      <c r="T21" s="662"/>
      <c r="U21" s="88">
        <v>0.52</v>
      </c>
      <c r="V21" s="86">
        <v>0.5</v>
      </c>
      <c r="W21" s="88">
        <v>0.55000000000000004</v>
      </c>
      <c r="X21" s="88">
        <v>0.56000000000000005</v>
      </c>
      <c r="Y21" s="86">
        <v>0.55000000000000004</v>
      </c>
      <c r="Z21" s="311" t="s">
        <v>357</v>
      </c>
      <c r="AA21" s="713"/>
      <c r="AB21" s="429"/>
      <c r="AC21" s="429"/>
      <c r="AD21" s="376"/>
      <c r="AE21" s="387"/>
      <c r="AF21" s="367"/>
      <c r="AG21" s="713"/>
      <c r="AH21" s="429"/>
      <c r="AI21" s="429"/>
      <c r="AJ21" s="376"/>
      <c r="AK21" s="1312"/>
    </row>
    <row r="22" spans="1:37" s="1009" customFormat="1">
      <c r="A22" s="219" t="s">
        <v>342</v>
      </c>
      <c r="B22" s="659" t="s">
        <v>343</v>
      </c>
      <c r="C22" s="92"/>
      <c r="D22" s="89">
        <f t="shared" ref="D22:R22" si="11">(D15*INDEX($R$116:$R$126,D18,1)-INDEX($E$102:$Q$112,D18,D8))/D5</f>
        <v>0.17232685542191742</v>
      </c>
      <c r="E22" s="90">
        <f t="shared" si="11"/>
        <v>0.15079668132596494</v>
      </c>
      <c r="F22" s="91">
        <f t="shared" si="11"/>
        <v>0.26492506359695023</v>
      </c>
      <c r="G22" s="89">
        <f t="shared" si="11"/>
        <v>0.40001116314399598</v>
      </c>
      <c r="H22" s="90">
        <f t="shared" si="11"/>
        <v>0.382234758866629</v>
      </c>
      <c r="I22" s="91">
        <f t="shared" si="11"/>
        <v>0.4456081890245065</v>
      </c>
      <c r="J22" s="89">
        <f t="shared" si="11"/>
        <v>0.22151118186029947</v>
      </c>
      <c r="K22" s="90">
        <f t="shared" si="11"/>
        <v>0.21194139378720453</v>
      </c>
      <c r="L22" s="91">
        <f t="shared" si="11"/>
        <v>0.35687592590692191</v>
      </c>
      <c r="M22" s="89">
        <f t="shared" si="11"/>
        <v>0.22151118186029947</v>
      </c>
      <c r="N22" s="90">
        <f t="shared" si="11"/>
        <v>0.21194139378720453</v>
      </c>
      <c r="O22" s="91">
        <f t="shared" si="11"/>
        <v>0.35687592590692191</v>
      </c>
      <c r="P22" s="89">
        <f t="shared" si="11"/>
        <v>0.22151118186029947</v>
      </c>
      <c r="Q22" s="90">
        <f t="shared" si="11"/>
        <v>0.21194139378720453</v>
      </c>
      <c r="R22" s="91">
        <f t="shared" si="11"/>
        <v>0.35687592590692191</v>
      </c>
      <c r="S22" s="1159"/>
      <c r="T22" s="92"/>
      <c r="U22" s="698"/>
      <c r="V22" s="316"/>
      <c r="W22" s="316"/>
      <c r="X22" s="316"/>
      <c r="Y22" s="316"/>
      <c r="Z22" s="697"/>
      <c r="AA22" s="314">
        <f>'FINAL BIPT &amp; Cullen 2014'!D22-D22</f>
        <v>0</v>
      </c>
      <c r="AB22" s="753">
        <f>'FINAL BIPT &amp; Cullen 2014'!J22-J22</f>
        <v>0</v>
      </c>
      <c r="AC22" s="753">
        <f>'FINAL BIPT &amp; Cullen 2014'!P22-P22</f>
        <v>7.6810978767222399E-2</v>
      </c>
      <c r="AD22" s="366">
        <f>'FINAL BIPT &amp; Cullen 2014'!G22-G22</f>
        <v>-3.5520171827154445E-2</v>
      </c>
      <c r="AE22" s="277"/>
      <c r="AF22" s="92"/>
      <c r="AG22" s="324"/>
      <c r="AH22" s="92"/>
      <c r="AI22" s="92"/>
      <c r="AJ22" s="277"/>
      <c r="AK22" s="1313"/>
    </row>
    <row r="23" spans="1:37" s="1009" customFormat="1">
      <c r="A23" s="219" t="s">
        <v>12</v>
      </c>
      <c r="B23" s="659" t="s">
        <v>147</v>
      </c>
      <c r="C23" s="92"/>
      <c r="D23" s="89">
        <f>D20*(1+(1-$S$20*D7)*D12)-D22*(1-$S$20*D7)*D12</f>
        <v>0.64419802849066155</v>
      </c>
      <c r="E23" s="90">
        <f t="shared" ref="E23:R23" si="12">E20*(1+(1-$S$20*E7)*E12)-E22*(1-$S$20*E7)*E12</f>
        <v>0.52850165266418259</v>
      </c>
      <c r="F23" s="91">
        <f t="shared" si="12"/>
        <v>0.69667546551965309</v>
      </c>
      <c r="G23" s="89">
        <f t="shared" si="12"/>
        <v>0.70561010496691856</v>
      </c>
      <c r="H23" s="90">
        <f t="shared" si="12"/>
        <v>0.65597366815499691</v>
      </c>
      <c r="I23" s="91">
        <f t="shared" si="12"/>
        <v>0.74341653442492317</v>
      </c>
      <c r="J23" s="89">
        <f>J20*(1+(1-$S$20*J7)*J12)-J22*(1-$S$20*J7)*J12</f>
        <v>0.82417993745227336</v>
      </c>
      <c r="K23" s="90">
        <f t="shared" si="12"/>
        <v>0.75064345437267765</v>
      </c>
      <c r="L23" s="91">
        <f t="shared" si="12"/>
        <v>0.81900475714421272</v>
      </c>
      <c r="M23" s="89">
        <f t="shared" si="12"/>
        <v>0.6973593100145119</v>
      </c>
      <c r="N23" s="90">
        <f t="shared" si="12"/>
        <v>0.63491374649026644</v>
      </c>
      <c r="O23" s="91">
        <f t="shared" si="12"/>
        <v>0.77347220293925645</v>
      </c>
      <c r="P23" s="89">
        <f>P20*(1+(1-$S$20*P7)*P12)-P22*(1-$S$20*P7)*P12</f>
        <v>0.69476707439290275</v>
      </c>
      <c r="Q23" s="90">
        <f t="shared" si="12"/>
        <v>0.65488499532035538</v>
      </c>
      <c r="R23" s="91">
        <f t="shared" si="12"/>
        <v>0.70085230056093184</v>
      </c>
      <c r="S23" s="1160"/>
      <c r="T23" s="73"/>
      <c r="U23" s="89">
        <f>U21*(1+U12)</f>
        <v>0.76470588235294124</v>
      </c>
      <c r="V23" s="155">
        <f>V21*(1+V12)</f>
        <v>0.83333333333333337</v>
      </c>
      <c r="W23" s="155">
        <f>W21*(1+W12)</f>
        <v>0.73333333333333339</v>
      </c>
      <c r="X23" s="155">
        <f>X21*(1+X12)</f>
        <v>0.7466666666666667</v>
      </c>
      <c r="Y23" s="155">
        <f>Y21*(1+Y12)</f>
        <v>0.73333333333333339</v>
      </c>
      <c r="Z23" s="387" t="s">
        <v>264</v>
      </c>
      <c r="AA23" s="314">
        <f>'FINAL BIPT &amp; Cullen 2014'!D23-D23</f>
        <v>1.2430864525056928E-2</v>
      </c>
      <c r="AB23" s="753">
        <f>'FINAL BIPT &amp; Cullen 2014'!J23-J23</f>
        <v>-4.3260977247640886E-2</v>
      </c>
      <c r="AC23" s="753">
        <f>'FINAL BIPT &amp; Cullen 2014'!P23-P23</f>
        <v>4.9435973095553365E-2</v>
      </c>
      <c r="AD23" s="366">
        <f>'FINAL BIPT &amp; Cullen 2014'!G23-G23</f>
        <v>6.9640132836610302E-3</v>
      </c>
      <c r="AE23" s="387"/>
      <c r="AF23" s="311" t="s">
        <v>147</v>
      </c>
      <c r="AG23" s="314">
        <f>D23-U23</f>
        <v>-0.12050785386227969</v>
      </c>
      <c r="AH23" s="753">
        <f>J23-V23</f>
        <v>-9.1533958810600113E-3</v>
      </c>
      <c r="AI23" s="753">
        <f>P23-Y23</f>
        <v>-3.8566258940430642E-2</v>
      </c>
      <c r="AJ23" s="366">
        <f>M23-X23</f>
        <v>-4.9307356652154799E-2</v>
      </c>
      <c r="AK23" s="1314"/>
    </row>
    <row r="24" spans="1:37" s="1009" customFormat="1">
      <c r="A24" s="220" t="s">
        <v>179</v>
      </c>
      <c r="B24" s="737" t="s">
        <v>305</v>
      </c>
      <c r="C24" s="431" t="s">
        <v>176</v>
      </c>
      <c r="D24" s="85">
        <f>D94*$S$24+D23*(1-$S$24)</f>
        <v>0.8</v>
      </c>
      <c r="E24" s="680">
        <f t="shared" ref="E24:R24" si="13">E94*$S$24+E23*(1-$S$24)</f>
        <v>0.70000000000000007</v>
      </c>
      <c r="F24" s="680">
        <f t="shared" si="13"/>
        <v>0.9</v>
      </c>
      <c r="G24" s="85">
        <f t="shared" si="13"/>
        <v>0.8</v>
      </c>
      <c r="H24" s="680">
        <f t="shared" si="13"/>
        <v>0.70000000000000007</v>
      </c>
      <c r="I24" s="680">
        <f t="shared" si="13"/>
        <v>0.9</v>
      </c>
      <c r="J24" s="86">
        <f t="shared" si="13"/>
        <v>0.8</v>
      </c>
      <c r="K24" s="680">
        <f t="shared" si="13"/>
        <v>0.70000000000000007</v>
      </c>
      <c r="L24" s="680">
        <f t="shared" si="13"/>
        <v>0.9</v>
      </c>
      <c r="M24" s="85">
        <f t="shared" si="13"/>
        <v>0.8</v>
      </c>
      <c r="N24" s="680">
        <f t="shared" si="13"/>
        <v>0.70000000000000007</v>
      </c>
      <c r="O24" s="680">
        <f t="shared" si="13"/>
        <v>0.9</v>
      </c>
      <c r="P24" s="86">
        <f t="shared" si="13"/>
        <v>0.8</v>
      </c>
      <c r="Q24" s="680">
        <f t="shared" si="13"/>
        <v>0.70000000000000007</v>
      </c>
      <c r="R24" s="680">
        <f t="shared" si="13"/>
        <v>0.9</v>
      </c>
      <c r="S24" s="1156">
        <f>IF($C$24="Yes",1,0)</f>
        <v>1</v>
      </c>
      <c r="T24" s="73"/>
      <c r="U24" s="89"/>
      <c r="V24" s="155"/>
      <c r="W24" s="155"/>
      <c r="X24" s="155"/>
      <c r="Y24" s="155"/>
      <c r="Z24" s="276"/>
      <c r="AA24" s="314">
        <f>'FINAL BIPT &amp; Cullen 2014'!D24-D24</f>
        <v>0</v>
      </c>
      <c r="AB24" s="753">
        <f>'FINAL BIPT &amp; Cullen 2014'!J24-J24</f>
        <v>0</v>
      </c>
      <c r="AC24" s="753">
        <f>'FINAL BIPT &amp; Cullen 2014'!P24-P24</f>
        <v>0</v>
      </c>
      <c r="AD24" s="366">
        <f>'FINAL BIPT &amp; Cullen 2014'!G24-G24</f>
        <v>0</v>
      </c>
      <c r="AE24" s="276"/>
      <c r="AF24" s="773" t="s">
        <v>319</v>
      </c>
      <c r="AG24" s="715">
        <f>D24-U23</f>
        <v>3.5294117647058809E-2</v>
      </c>
      <c r="AH24" s="430">
        <f>J24-V23</f>
        <v>-3.3333333333333326E-2</v>
      </c>
      <c r="AI24" s="430">
        <f>P24-Y23</f>
        <v>6.6666666666666652E-2</v>
      </c>
      <c r="AJ24" s="377">
        <f>M24-X23</f>
        <v>5.3333333333333344E-2</v>
      </c>
      <c r="AK24" s="1305"/>
    </row>
    <row r="25" spans="1:37" s="1009" customFormat="1">
      <c r="A25" s="219" t="s">
        <v>13</v>
      </c>
      <c r="B25" s="358" t="s">
        <v>366</v>
      </c>
      <c r="C25" s="239"/>
      <c r="D25" s="99">
        <f t="shared" ref="D25:R25" si="14">D3+D24*D4+D23*D5</f>
        <v>6.6118855163960266E-2</v>
      </c>
      <c r="E25" s="57">
        <f t="shared" si="14"/>
        <v>5.3202574818457984E-2</v>
      </c>
      <c r="F25" s="128">
        <f t="shared" si="14"/>
        <v>8.0952854967724683E-2</v>
      </c>
      <c r="G25" s="99">
        <f t="shared" si="14"/>
        <v>6.9426189722071402E-2</v>
      </c>
      <c r="H25" s="57">
        <f t="shared" si="14"/>
        <v>5.9748873562655541E-2</v>
      </c>
      <c r="I25" s="128">
        <f t="shared" si="14"/>
        <v>8.3586938148114701E-2</v>
      </c>
      <c r="J25" s="99">
        <f t="shared" si="14"/>
        <v>7.5811743297675913E-2</v>
      </c>
      <c r="K25" s="57">
        <f t="shared" si="14"/>
        <v>6.4610620670395538E-2</v>
      </c>
      <c r="L25" s="128">
        <f t="shared" si="14"/>
        <v>8.7846696659499665E-2</v>
      </c>
      <c r="M25" s="99">
        <f t="shared" si="14"/>
        <v>6.8981844882363308E-2</v>
      </c>
      <c r="N25" s="57">
        <f t="shared" si="14"/>
        <v>5.8667345682078029E-2</v>
      </c>
      <c r="O25" s="128">
        <f t="shared" si="14"/>
        <v>8.5280719072753697E-2</v>
      </c>
      <c r="P25" s="99">
        <f t="shared" si="14"/>
        <v>6.8842240574122249E-2</v>
      </c>
      <c r="Q25" s="57">
        <f t="shared" si="14"/>
        <v>5.9692964996506226E-2</v>
      </c>
      <c r="R25" s="128">
        <f t="shared" si="14"/>
        <v>8.1188239634510842E-2</v>
      </c>
      <c r="S25" s="1161"/>
      <c r="T25" s="73"/>
      <c r="U25" s="699">
        <f>U3+U23*U5</f>
        <v>8.0147058823529405E-2</v>
      </c>
      <c r="V25" s="701">
        <f>V3+V23*V5</f>
        <v>8.3749999999999991E-2</v>
      </c>
      <c r="W25" s="701">
        <f>W3+W23*W5</f>
        <v>7.85E-2</v>
      </c>
      <c r="X25" s="701">
        <f>X3+X23*X5</f>
        <v>7.9199999999999993E-2</v>
      </c>
      <c r="Y25" s="701">
        <f>Y3+Y23*Y5</f>
        <v>7.85E-2</v>
      </c>
      <c r="Z25" s="426" t="s">
        <v>265</v>
      </c>
      <c r="AA25" s="89">
        <f>'FINAL BIPT &amp; Cullen 2014'!D25-D25</f>
        <v>6.6946161390282755E-4</v>
      </c>
      <c r="AB25" s="155">
        <f>'FINAL BIPT &amp; Cullen 2014'!J25-J25</f>
        <v>-2.329810898416676E-3</v>
      </c>
      <c r="AC25" s="155">
        <f>'FINAL BIPT &amp; Cullen 2014'!P25-P25</f>
        <v>2.6623640107005242E-3</v>
      </c>
      <c r="AD25" s="357">
        <f>'FINAL BIPT &amp; Cullen 2014'!G25-G25</f>
        <v>3.7504548156910844E-4</v>
      </c>
      <c r="AE25" s="426"/>
      <c r="AF25" s="453" t="s">
        <v>320</v>
      </c>
      <c r="AG25" s="99">
        <f>D25-U25</f>
        <v>-1.4028203659569138E-2</v>
      </c>
      <c r="AH25" s="100">
        <f>J25-V25</f>
        <v>-7.9382567023240785E-3</v>
      </c>
      <c r="AI25" s="100">
        <f>P25-Y25</f>
        <v>-9.6577594258777516E-3</v>
      </c>
      <c r="AJ25" s="83">
        <f>M25-X25</f>
        <v>-1.0218155117636685E-2</v>
      </c>
      <c r="AK25" s="1315"/>
    </row>
    <row r="26" spans="1:37" s="1009" customFormat="1">
      <c r="A26" s="219"/>
      <c r="B26" s="659" t="s">
        <v>266</v>
      </c>
      <c r="C26" s="239"/>
      <c r="D26" s="99">
        <f t="shared" ref="D26:R26" si="15">D24*D4</f>
        <v>5.1225495045285653E-3</v>
      </c>
      <c r="E26" s="94">
        <f t="shared" si="15"/>
        <v>4.5178458343599556E-3</v>
      </c>
      <c r="F26" s="101">
        <f t="shared" si="15"/>
        <v>6.9006520133374953E-3</v>
      </c>
      <c r="G26" s="99">
        <f t="shared" si="15"/>
        <v>5.1225495045285653E-3</v>
      </c>
      <c r="H26" s="94">
        <f t="shared" si="15"/>
        <v>4.5178458343599556E-3</v>
      </c>
      <c r="I26" s="101">
        <f t="shared" si="15"/>
        <v>6.9006520133374953E-3</v>
      </c>
      <c r="J26" s="99">
        <f t="shared" si="15"/>
        <v>5.1225495045285653E-3</v>
      </c>
      <c r="K26" s="94">
        <f t="shared" si="15"/>
        <v>4.5178458343599556E-3</v>
      </c>
      <c r="L26" s="101">
        <f t="shared" si="15"/>
        <v>6.9006520133374953E-3</v>
      </c>
      <c r="M26" s="99">
        <f t="shared" si="15"/>
        <v>5.1225495045285653E-3</v>
      </c>
      <c r="N26" s="94">
        <f t="shared" si="15"/>
        <v>4.5178458343599556E-3</v>
      </c>
      <c r="O26" s="101">
        <f t="shared" si="15"/>
        <v>6.9006520133374953E-3</v>
      </c>
      <c r="P26" s="99">
        <f t="shared" si="15"/>
        <v>5.1225495045285653E-3</v>
      </c>
      <c r="Q26" s="94">
        <f t="shared" si="15"/>
        <v>4.5178458343599556E-3</v>
      </c>
      <c r="R26" s="101">
        <f t="shared" si="15"/>
        <v>6.9006520133374953E-3</v>
      </c>
      <c r="S26" s="1154"/>
      <c r="T26" s="73"/>
      <c r="U26" s="699"/>
      <c r="V26" s="700"/>
      <c r="W26" s="701"/>
      <c r="X26" s="701"/>
      <c r="Y26" s="700"/>
      <c r="Z26" s="356"/>
      <c r="AA26" s="1023">
        <f>'FINAL BIPT &amp; Cullen 2014'!D26-D26</f>
        <v>0</v>
      </c>
      <c r="AB26" s="1024">
        <f>'FINAL BIPT &amp; Cullen 2014'!J26-J26</f>
        <v>0</v>
      </c>
      <c r="AC26" s="1024">
        <f>'FINAL BIPT &amp; Cullen 2014'!P26-P26</f>
        <v>0</v>
      </c>
      <c r="AD26" s="1025">
        <f>'FINAL BIPT &amp; Cullen 2014'!G26-G26</f>
        <v>0</v>
      </c>
      <c r="AE26" s="356"/>
      <c r="AF26" s="662" t="s">
        <v>374</v>
      </c>
      <c r="AG26" s="315">
        <f>AG25-D26</f>
        <v>-1.9150753164097704E-2</v>
      </c>
      <c r="AH26" s="244">
        <f>AH25-J26</f>
        <v>-1.3060806206852644E-2</v>
      </c>
      <c r="AI26" s="244">
        <f>AI25-P26</f>
        <v>-1.4780308930406317E-2</v>
      </c>
      <c r="AJ26" s="245">
        <f>AJ25-M26</f>
        <v>-1.534070462216525E-2</v>
      </c>
      <c r="AK26" s="1306"/>
    </row>
    <row r="27" spans="1:37">
      <c r="A27" s="220"/>
      <c r="B27" s="358"/>
      <c r="C27" s="239"/>
      <c r="D27" s="96"/>
      <c r="E27" s="730"/>
      <c r="F27" s="731"/>
      <c r="G27" s="96"/>
      <c r="H27" s="730"/>
      <c r="I27" s="731"/>
      <c r="J27" s="96"/>
      <c r="K27" s="730"/>
      <c r="L27" s="731"/>
      <c r="M27" s="96"/>
      <c r="N27" s="730"/>
      <c r="O27" s="731"/>
      <c r="P27" s="96"/>
      <c r="Q27" s="730"/>
      <c r="R27" s="731"/>
      <c r="S27" s="1162"/>
      <c r="T27" s="73"/>
      <c r="U27" s="375"/>
      <c r="V27" s="700"/>
      <c r="W27" s="701"/>
      <c r="X27" s="701"/>
      <c r="Y27" s="700"/>
      <c r="Z27" s="356"/>
      <c r="AA27" s="298"/>
      <c r="AB27" s="110"/>
      <c r="AC27" s="95"/>
      <c r="AD27" s="98"/>
      <c r="AE27" s="356"/>
      <c r="AF27" s="95"/>
      <c r="AG27" s="298"/>
      <c r="AH27" s="110"/>
      <c r="AI27" s="95"/>
      <c r="AJ27" s="387"/>
      <c r="AK27" s="1305"/>
    </row>
    <row r="28" spans="1:37" s="1005" customFormat="1">
      <c r="A28" s="733" t="s">
        <v>17</v>
      </c>
      <c r="B28" s="827" t="s">
        <v>252</v>
      </c>
      <c r="C28" s="827"/>
      <c r="D28" s="828">
        <f t="shared" ref="D28:R28" si="16">(1-D11)/(1-D7)*D25+D11*D17</f>
        <v>7.6172970707316712E-2</v>
      </c>
      <c r="E28" s="94">
        <f t="shared" si="16"/>
        <v>7.1212601326553715E-2</v>
      </c>
      <c r="F28" s="101">
        <f t="shared" si="16"/>
        <v>8.8911716298802679E-2</v>
      </c>
      <c r="G28" s="829">
        <f t="shared" si="16"/>
        <v>9.9730784592595989E-2</v>
      </c>
      <c r="H28" s="94">
        <f t="shared" si="16"/>
        <v>8.4514170663426536E-2</v>
      </c>
      <c r="I28" s="101">
        <f t="shared" si="16"/>
        <v>0.11640022238238792</v>
      </c>
      <c r="J28" s="781">
        <f>(1-J11)/(1-J7)*J25+J11*J17</f>
        <v>8.1555337818754861E-2</v>
      </c>
      <c r="K28" s="94">
        <f t="shared" si="16"/>
        <v>7.2207604525637056E-2</v>
      </c>
      <c r="L28" s="101">
        <f t="shared" si="16"/>
        <v>9.696784565958988E-2</v>
      </c>
      <c r="M28" s="829">
        <f t="shared" si="16"/>
        <v>8.7662972620182106E-2</v>
      </c>
      <c r="N28" s="94">
        <f t="shared" si="16"/>
        <v>7.8536979091268749E-2</v>
      </c>
      <c r="O28" s="101">
        <f t="shared" si="16"/>
        <v>9.9463065436832199E-2</v>
      </c>
      <c r="P28" s="781">
        <f t="shared" si="16"/>
        <v>8.7834696185358122E-2</v>
      </c>
      <c r="Q28" s="94">
        <f t="shared" si="16"/>
        <v>7.7117410904385356E-2</v>
      </c>
      <c r="R28" s="101">
        <f t="shared" si="16"/>
        <v>0.10530237098702089</v>
      </c>
      <c r="S28" s="1155"/>
      <c r="T28" s="73"/>
      <c r="U28" s="830">
        <f>(1-U11)/(1-U7)*U25+U11*U17</f>
        <v>0.10016324799272837</v>
      </c>
      <c r="V28" s="752">
        <f>(1-V11)/(1-V7)*V25+V11*V17</f>
        <v>9.8924829571277073E-2</v>
      </c>
      <c r="W28" s="831">
        <f>(1-W11)/(1-W7)*W25+W11*W17</f>
        <v>0.10294103166186941</v>
      </c>
      <c r="X28" s="831">
        <f>(1-X11)/(1-X7)*X25+X11*X17</f>
        <v>0.10373636570216634</v>
      </c>
      <c r="Y28" s="752">
        <f>(1-Y11)/(1-Y7)*Y25+Y11*Y17</f>
        <v>0.10294103166186941</v>
      </c>
      <c r="Z28" s="427" t="s">
        <v>259</v>
      </c>
      <c r="AA28" s="829">
        <f>'FINAL BIPT &amp; Cullen 2014'!D28-D28</f>
        <v>-6.1137119215176616E-4</v>
      </c>
      <c r="AB28" s="1020">
        <f>'FINAL BIPT &amp; Cullen 2014'!J28-J28</f>
        <v>1.6792839475487653E-3</v>
      </c>
      <c r="AC28" s="1020">
        <f>'FINAL BIPT &amp; Cullen 2014'!P28-P28</f>
        <v>-3.6814658240296588E-3</v>
      </c>
      <c r="AD28" s="1558">
        <f>'FINAL BIPT &amp; Cullen 2014'!G28-G28</f>
        <v>-4.8651178150833085E-3</v>
      </c>
      <c r="AE28" s="427"/>
      <c r="AF28" s="454" t="s">
        <v>259</v>
      </c>
      <c r="AG28" s="829">
        <f>D28-U28</f>
        <v>-2.3990277285411657E-2</v>
      </c>
      <c r="AH28" s="866">
        <f>J28-V28</f>
        <v>-1.7369491752522212E-2</v>
      </c>
      <c r="AI28" s="866">
        <f>P28-Y28</f>
        <v>-1.5106335476511287E-2</v>
      </c>
      <c r="AJ28" s="836">
        <f>M28-X28</f>
        <v>-1.607339308198423E-2</v>
      </c>
      <c r="AK28" s="1305"/>
    </row>
    <row r="29" spans="1:37" s="1005" customFormat="1" ht="13.15" customHeight="1">
      <c r="A29" s="219" t="s">
        <v>18</v>
      </c>
      <c r="B29" s="667" t="s">
        <v>377</v>
      </c>
      <c r="C29" s="660"/>
      <c r="D29" s="99"/>
      <c r="E29" s="94"/>
      <c r="F29" s="101"/>
      <c r="G29" s="99"/>
      <c r="H29" s="94"/>
      <c r="I29" s="101"/>
      <c r="J29" s="99"/>
      <c r="K29" s="94"/>
      <c r="L29" s="101"/>
      <c r="M29" s="99"/>
      <c r="N29" s="94"/>
      <c r="O29" s="101"/>
      <c r="P29" s="781">
        <f>P28-J28</f>
        <v>6.2793583666032604E-3</v>
      </c>
      <c r="Q29" s="94">
        <f>Q28-K28</f>
        <v>4.9098063787482993E-3</v>
      </c>
      <c r="R29" s="101">
        <f>R28-L28</f>
        <v>8.3345253274310083E-3</v>
      </c>
      <c r="S29" s="1160"/>
      <c r="T29" s="73"/>
      <c r="U29" s="732"/>
      <c r="V29" s="704"/>
      <c r="W29" s="704"/>
      <c r="X29" s="704"/>
      <c r="Y29" s="802">
        <f>Y28-V28</f>
        <v>4.0162020905923357E-3</v>
      </c>
      <c r="Z29" s="825" t="s">
        <v>379</v>
      </c>
      <c r="AA29" s="99"/>
      <c r="AB29" s="100"/>
      <c r="AC29" s="1020">
        <f>AC28-AB28</f>
        <v>-5.3607497715784241E-3</v>
      </c>
      <c r="AD29" s="355"/>
      <c r="AE29" s="355"/>
      <c r="AF29" s="82" t="s">
        <v>379</v>
      </c>
      <c r="AG29" s="99"/>
      <c r="AH29" s="100"/>
      <c r="AI29" s="866">
        <f>AI28-AH28</f>
        <v>2.2631562760109247E-3</v>
      </c>
      <c r="AJ29" s="83"/>
      <c r="AK29" s="1316"/>
    </row>
    <row r="30" spans="1:37" ht="13.15" customHeight="1">
      <c r="A30" s="221"/>
      <c r="B30" s="661"/>
      <c r="C30" s="662"/>
      <c r="D30" s="99"/>
      <c r="E30" s="681" t="s">
        <v>136</v>
      </c>
      <c r="F30" s="682" t="s">
        <v>135</v>
      </c>
      <c r="G30" s="674"/>
      <c r="H30" s="681" t="s">
        <v>136</v>
      </c>
      <c r="I30" s="682" t="s">
        <v>135</v>
      </c>
      <c r="J30" s="674"/>
      <c r="K30" s="681" t="s">
        <v>136</v>
      </c>
      <c r="L30" s="682" t="s">
        <v>135</v>
      </c>
      <c r="M30" s="674"/>
      <c r="N30" s="681" t="s">
        <v>136</v>
      </c>
      <c r="O30" s="682" t="s">
        <v>135</v>
      </c>
      <c r="P30" s="674"/>
      <c r="Q30" s="681" t="s">
        <v>136</v>
      </c>
      <c r="R30" s="682" t="s">
        <v>135</v>
      </c>
      <c r="S30" s="1161"/>
      <c r="T30" s="73"/>
      <c r="U30" s="702"/>
      <c r="V30" s="703"/>
      <c r="W30" s="704"/>
      <c r="X30" s="704"/>
      <c r="Y30" s="703"/>
      <c r="Z30" s="355"/>
      <c r="AA30" s="299"/>
      <c r="AB30" s="100"/>
      <c r="AC30" s="100"/>
      <c r="AD30" s="101"/>
      <c r="AE30" s="355"/>
      <c r="AF30" s="100"/>
      <c r="AG30" s="299"/>
      <c r="AH30" s="100"/>
      <c r="AI30" s="100"/>
      <c r="AJ30" s="355"/>
      <c r="AK30" s="1305"/>
    </row>
    <row r="31" spans="1:37">
      <c r="A31" s="221" t="s">
        <v>23</v>
      </c>
      <c r="B31" s="190" t="s">
        <v>4</v>
      </c>
      <c r="C31" s="191"/>
      <c r="D31" s="532">
        <f t="shared" ref="D31:I31" si="17">$J$31</f>
        <v>2.7898562271062275E-2</v>
      </c>
      <c r="E31" s="683">
        <f t="shared" si="17"/>
        <v>2.7898562271062275E-2</v>
      </c>
      <c r="F31" s="683">
        <f t="shared" si="17"/>
        <v>2.7898562271062275E-2</v>
      </c>
      <c r="G31" s="532">
        <f t="shared" si="17"/>
        <v>2.7898562271062275E-2</v>
      </c>
      <c r="H31" s="683">
        <f t="shared" si="17"/>
        <v>2.7898562271062275E-2</v>
      </c>
      <c r="I31" s="683">
        <f t="shared" si="17"/>
        <v>2.7898562271062275E-2</v>
      </c>
      <c r="J31" s="195">
        <f>$D$80/100</f>
        <v>2.7898562271062275E-2</v>
      </c>
      <c r="K31" s="683">
        <f t="shared" ref="K31:R31" si="18">$J$31</f>
        <v>2.7898562271062275E-2</v>
      </c>
      <c r="L31" s="683">
        <f t="shared" si="18"/>
        <v>2.7898562271062275E-2</v>
      </c>
      <c r="M31" s="532">
        <f t="shared" si="18"/>
        <v>2.7898562271062275E-2</v>
      </c>
      <c r="N31" s="683">
        <f t="shared" si="18"/>
        <v>2.7898562271062275E-2</v>
      </c>
      <c r="O31" s="683">
        <f t="shared" si="18"/>
        <v>2.7898562271062275E-2</v>
      </c>
      <c r="P31" s="532">
        <f t="shared" si="18"/>
        <v>2.7898562271062275E-2</v>
      </c>
      <c r="Q31" s="683">
        <f t="shared" si="18"/>
        <v>2.7898562271062275E-2</v>
      </c>
      <c r="R31" s="683">
        <f t="shared" si="18"/>
        <v>2.7898562271062275E-2</v>
      </c>
      <c r="S31" s="1154"/>
      <c r="T31" s="47"/>
      <c r="U31" s="46">
        <v>3.7999999999999999E-2</v>
      </c>
      <c r="V31" s="738">
        <f>$U$31</f>
        <v>3.7999999999999999E-2</v>
      </c>
      <c r="W31" s="739">
        <f>$U$31</f>
        <v>3.7999999999999999E-2</v>
      </c>
      <c r="X31" s="739">
        <f>$U$31</f>
        <v>3.7999999999999999E-2</v>
      </c>
      <c r="Y31" s="740">
        <f>$U$31</f>
        <v>3.7999999999999999E-2</v>
      </c>
      <c r="Z31" s="156" t="s">
        <v>4</v>
      </c>
      <c r="AA31" s="687">
        <f>'FINAL BIPT &amp; Cullen 2014'!D31-D31</f>
        <v>-5.1994791666666665E-3</v>
      </c>
      <c r="AB31" s="1412">
        <f>'FINAL BIPT &amp; Cullen 2014'!J31-J31</f>
        <v>-5.1994791666666665E-3</v>
      </c>
      <c r="AC31" s="108">
        <f>'FINAL BIPT &amp; Cullen 2014'!P31-P31</f>
        <v>-5.1994791666666665E-3</v>
      </c>
      <c r="AD31" s="770">
        <f>'FINAL BIPT &amp; Cullen 2014'!G31-G31</f>
        <v>-5.1994791666666665E-3</v>
      </c>
      <c r="AE31" s="83"/>
      <c r="AF31" s="156" t="s">
        <v>4</v>
      </c>
      <c r="AG31" s="717">
        <f>D31-U31</f>
        <v>-1.0101437728937724E-2</v>
      </c>
      <c r="AH31" s="712">
        <f>J31-V31</f>
        <v>-1.0101437728937724E-2</v>
      </c>
      <c r="AI31" s="287">
        <f>K31-Y31</f>
        <v>-1.0101437728937724E-2</v>
      </c>
      <c r="AJ31" s="718">
        <f>M31-Y31</f>
        <v>-1.0101437728937724E-2</v>
      </c>
      <c r="AK31" s="1317"/>
    </row>
    <row r="32" spans="1:37" ht="13.15" customHeight="1">
      <c r="A32" s="221"/>
      <c r="B32" s="665" t="s">
        <v>365</v>
      </c>
      <c r="C32" s="666"/>
      <c r="D32" s="99">
        <f t="shared" ref="D32:R32" si="19">D7/(1-D7)*(1-D11)*D31</f>
        <v>8.6193497796704134E-3</v>
      </c>
      <c r="E32" s="57">
        <f t="shared" si="19"/>
        <v>1.1492466372893884E-2</v>
      </c>
      <c r="F32" s="129">
        <f t="shared" si="19"/>
        <v>7.1827914830586773E-3</v>
      </c>
      <c r="G32" s="99">
        <f t="shared" si="19"/>
        <v>7.9808794256207537E-3</v>
      </c>
      <c r="H32" s="57">
        <f t="shared" si="19"/>
        <v>8.7789673681828283E-3</v>
      </c>
      <c r="I32" s="129">
        <f t="shared" si="19"/>
        <v>7.1827914830586773E-3</v>
      </c>
      <c r="J32" s="99">
        <f t="shared" si="19"/>
        <v>7.5716233644526265E-3</v>
      </c>
      <c r="K32" s="57">
        <f t="shared" si="19"/>
        <v>8.2899025127584937E-3</v>
      </c>
      <c r="L32" s="129">
        <f t="shared" si="19"/>
        <v>6.8533442161467593E-3</v>
      </c>
      <c r="M32" s="99">
        <f t="shared" si="19"/>
        <v>1.0337287642614231E-2</v>
      </c>
      <c r="N32" s="57">
        <f t="shared" si="19"/>
        <v>1.1492466372893884E-2</v>
      </c>
      <c r="O32" s="129">
        <f t="shared" si="19"/>
        <v>7.8121391526010976E-3</v>
      </c>
      <c r="P32" s="99">
        <f t="shared" si="19"/>
        <v>1.0415047650435081E-2</v>
      </c>
      <c r="Q32" s="57">
        <f t="shared" si="19"/>
        <v>1.0774187224588016E-2</v>
      </c>
      <c r="R32" s="129">
        <f t="shared" si="19"/>
        <v>1.0055908076282148E-2</v>
      </c>
      <c r="S32" s="1162"/>
      <c r="T32" s="47"/>
      <c r="U32" s="705">
        <f>$U$7/(1-$U$7)*(1-U11)*U31</f>
        <v>1.3305584002423871E-2</v>
      </c>
      <c r="V32" s="706">
        <f>$U$7/(1-$U$7)*(1-V11)*V31</f>
        <v>1.17402211786093E-2</v>
      </c>
      <c r="W32" s="706">
        <f>$U$7/(1-$U$7)*(1-W11)*W31</f>
        <v>1.4675276473261625E-2</v>
      </c>
      <c r="X32" s="706">
        <f>$U$7/(1-$U$7)*(1-X11)*X31</f>
        <v>1.4675276473261625E-2</v>
      </c>
      <c r="Y32" s="706">
        <f>$U$7/(1-$U$7)*(1-Y11)*Y31</f>
        <v>1.4675276473261625E-2</v>
      </c>
      <c r="Z32" s="356" t="s">
        <v>365</v>
      </c>
      <c r="AA32" s="298"/>
      <c r="AB32" s="95"/>
      <c r="AC32" s="95"/>
      <c r="AD32" s="98"/>
      <c r="AE32" s="356"/>
      <c r="AF32" s="95"/>
      <c r="AG32" s="298"/>
      <c r="AH32" s="95"/>
      <c r="AI32" s="95"/>
      <c r="AJ32" s="356"/>
      <c r="AK32" s="1317"/>
    </row>
    <row r="33" spans="1:37" s="1010" customFormat="1" ht="13.15" customHeight="1">
      <c r="A33" s="222"/>
      <c r="B33" s="665"/>
      <c r="C33" s="666"/>
      <c r="D33" s="99"/>
      <c r="E33" s="681" t="s">
        <v>136</v>
      </c>
      <c r="F33" s="682" t="s">
        <v>135</v>
      </c>
      <c r="G33" s="674"/>
      <c r="H33" s="681" t="s">
        <v>136</v>
      </c>
      <c r="I33" s="682" t="s">
        <v>135</v>
      </c>
      <c r="J33" s="674"/>
      <c r="K33" s="681" t="s">
        <v>136</v>
      </c>
      <c r="L33" s="682" t="s">
        <v>135</v>
      </c>
      <c r="M33" s="674"/>
      <c r="N33" s="681" t="s">
        <v>136</v>
      </c>
      <c r="O33" s="682" t="s">
        <v>135</v>
      </c>
      <c r="P33" s="674"/>
      <c r="Q33" s="681" t="s">
        <v>136</v>
      </c>
      <c r="R33" s="682" t="s">
        <v>135</v>
      </c>
      <c r="S33" s="1162"/>
      <c r="T33" s="47"/>
      <c r="U33" s="707"/>
      <c r="V33" s="708"/>
      <c r="W33" s="708"/>
      <c r="X33" s="708"/>
      <c r="Y33" s="708"/>
      <c r="Z33" s="356"/>
      <c r="AA33" s="298"/>
      <c r="AB33" s="95"/>
      <c r="AC33" s="95"/>
      <c r="AD33" s="98"/>
      <c r="AE33" s="356"/>
      <c r="AF33" s="95"/>
      <c r="AG33" s="298"/>
      <c r="AH33" s="95"/>
      <c r="AI33" s="95"/>
      <c r="AJ33" s="356"/>
      <c r="AK33" s="1318"/>
    </row>
    <row r="34" spans="1:37" s="1010" customFormat="1">
      <c r="A34" s="222"/>
      <c r="B34" s="190" t="s">
        <v>189</v>
      </c>
      <c r="C34" s="191"/>
      <c r="D34" s="1284">
        <f>D88</f>
        <v>0.55555555555555558</v>
      </c>
      <c r="E34" s="1285">
        <f>F88</f>
        <v>0.66666666666666663</v>
      </c>
      <c r="F34" s="1285">
        <f>E88</f>
        <v>0.2857142857142857</v>
      </c>
      <c r="G34" s="1284">
        <f>G88</f>
        <v>0.69618557805635917</v>
      </c>
      <c r="H34" s="1285">
        <f>I88</f>
        <v>0.83831565413050457</v>
      </c>
      <c r="I34" s="1285">
        <f>H88</f>
        <v>0.33907333425173347</v>
      </c>
      <c r="J34" s="1286">
        <f>J88</f>
        <v>0.81672559734276229</v>
      </c>
      <c r="K34" s="1285">
        <f>L88</f>
        <v>0.98544335767093716</v>
      </c>
      <c r="L34" s="1285">
        <f>K88</f>
        <v>0.38480966156954588</v>
      </c>
      <c r="M34" s="1284">
        <f>M88</f>
        <v>0.14705882352941177</v>
      </c>
      <c r="N34" s="1285">
        <f>O88</f>
        <v>0.16806722689075629</v>
      </c>
      <c r="O34" s="1285">
        <f>N88</f>
        <v>0.13071895424836602</v>
      </c>
      <c r="P34" s="1286">
        <f>P88</f>
        <v>0.14705882352941177</v>
      </c>
      <c r="Q34" s="1285">
        <f>R88</f>
        <v>0.16806722689075629</v>
      </c>
      <c r="R34" s="1285">
        <f>Q88</f>
        <v>0.13071895424836602</v>
      </c>
      <c r="S34" s="1155"/>
      <c r="T34" s="51"/>
      <c r="U34" s="78">
        <f>$W$63</f>
        <v>0.23875561877926038</v>
      </c>
      <c r="V34" s="77">
        <f>$W$63</f>
        <v>0.23875561877926038</v>
      </c>
      <c r="W34" s="78">
        <f>$W$63</f>
        <v>0.23875561877926038</v>
      </c>
      <c r="X34" s="78">
        <f>$Z$63</f>
        <v>0.16690072761760621</v>
      </c>
      <c r="Y34" s="77">
        <f>$Z$63</f>
        <v>0.16690072761760621</v>
      </c>
      <c r="Z34" s="311" t="s">
        <v>189</v>
      </c>
      <c r="AA34" s="89">
        <f>'FINAL BIPT &amp; Cullen 2014'!D34-D34</f>
        <v>-0.27743055555555557</v>
      </c>
      <c r="AB34" s="1415">
        <f>'FINAL BIPT &amp; Cullen 2014'!J34-J34</f>
        <v>-0.53860059734276222</v>
      </c>
      <c r="AC34" s="1415">
        <f>'FINAL BIPT &amp; Cullen 2014'!P34-P34</f>
        <v>0.27169117647058827</v>
      </c>
      <c r="AD34" s="357">
        <f>'FINAL BIPT &amp; Cullen 2014'!G34-G34</f>
        <v>-0.52503173190251307</v>
      </c>
      <c r="AE34" s="387"/>
      <c r="AF34" s="311" t="s">
        <v>189</v>
      </c>
      <c r="AG34" s="1287">
        <f>D34-U34</f>
        <v>0.3167999367762952</v>
      </c>
      <c r="AH34" s="1288">
        <f>J34-V34</f>
        <v>0.57796997856350196</v>
      </c>
      <c r="AI34" s="1288">
        <f>P34-Y34</f>
        <v>-1.9841904088194445E-2</v>
      </c>
      <c r="AJ34" s="376">
        <f>M34-X34</f>
        <v>-1.9841904088194445E-2</v>
      </c>
      <c r="AK34" s="1306"/>
    </row>
    <row r="35" spans="1:37" s="1010" customFormat="1" ht="13.15" customHeight="1">
      <c r="A35" s="221" t="s">
        <v>370</v>
      </c>
      <c r="B35" s="661" t="s">
        <v>190</v>
      </c>
      <c r="C35" s="662"/>
      <c r="D35" s="533">
        <f t="shared" ref="D35:R35" si="20">1/D34</f>
        <v>1.7999999999999998</v>
      </c>
      <c r="E35" s="256">
        <f t="shared" si="20"/>
        <v>1.5</v>
      </c>
      <c r="F35" s="312">
        <f t="shared" si="20"/>
        <v>3.5</v>
      </c>
      <c r="G35" s="537">
        <f t="shared" si="20"/>
        <v>1.4363986148518662</v>
      </c>
      <c r="H35" s="256">
        <f t="shared" si="20"/>
        <v>1.1928680981595092</v>
      </c>
      <c r="I35" s="312">
        <f t="shared" si="20"/>
        <v>2.9492145178764897</v>
      </c>
      <c r="J35" s="537">
        <f t="shared" si="20"/>
        <v>1.224401443096097</v>
      </c>
      <c r="K35" s="256">
        <f t="shared" si="20"/>
        <v>1.0147716682199441</v>
      </c>
      <c r="L35" s="312">
        <f t="shared" si="20"/>
        <v>2.5986873508353221</v>
      </c>
      <c r="M35" s="537">
        <f t="shared" si="20"/>
        <v>6.8</v>
      </c>
      <c r="N35" s="256">
        <f t="shared" si="20"/>
        <v>5.95</v>
      </c>
      <c r="O35" s="312">
        <f t="shared" si="20"/>
        <v>7.6499999999999995</v>
      </c>
      <c r="P35" s="537">
        <f t="shared" si="20"/>
        <v>6.8</v>
      </c>
      <c r="Q35" s="256">
        <f t="shared" si="20"/>
        <v>5.95</v>
      </c>
      <c r="R35" s="312">
        <f t="shared" si="20"/>
        <v>7.6499999999999995</v>
      </c>
      <c r="S35" s="1155"/>
      <c r="T35" s="103"/>
      <c r="U35" s="709">
        <f>1/U34</f>
        <v>4.1883831053397831</v>
      </c>
      <c r="V35" s="710">
        <f>1/V34</f>
        <v>4.1883831053397831</v>
      </c>
      <c r="W35" s="710">
        <f>1/W34</f>
        <v>4.1883831053397831</v>
      </c>
      <c r="X35" s="710">
        <f>1/X34</f>
        <v>5.9915856226291897</v>
      </c>
      <c r="Y35" s="710">
        <f>1/Y34</f>
        <v>5.9915856226291897</v>
      </c>
      <c r="Z35" s="166" t="s">
        <v>190</v>
      </c>
      <c r="AA35" s="776">
        <f>'FINAL BIPT &amp; Cullen 2014'!D35-D35</f>
        <v>1.7955056179775282</v>
      </c>
      <c r="AB35" s="774">
        <f>'FINAL BIPT &amp; Cullen 2014'!J35-J35</f>
        <v>2.3711041748814301</v>
      </c>
      <c r="AC35" s="774">
        <f>'FINAL BIPT &amp; Cullen 2014'!P35-P35</f>
        <v>-4.4119402985074627</v>
      </c>
      <c r="AD35" s="775">
        <f>'FINAL BIPT &amp; Cullen 2014'!G35-G35</f>
        <v>4.4062980143616173</v>
      </c>
      <c r="AE35" s="387"/>
      <c r="AF35" s="662" t="s">
        <v>190</v>
      </c>
      <c r="AG35" s="776">
        <f>D35-U35</f>
        <v>-2.3883831053397833</v>
      </c>
      <c r="AH35" s="774">
        <f>J35-V35</f>
        <v>-2.9639816622436861</v>
      </c>
      <c r="AI35" s="774">
        <f>P35-Y35</f>
        <v>0.80841437737081012</v>
      </c>
      <c r="AJ35" s="775">
        <f>M35-X35</f>
        <v>0.80841437737081012</v>
      </c>
      <c r="AK35" s="1305"/>
    </row>
    <row r="36" spans="1:37" s="1010" customFormat="1" ht="13.15" customHeight="1">
      <c r="A36" s="221" t="s">
        <v>22</v>
      </c>
      <c r="B36" s="663" t="s">
        <v>367</v>
      </c>
      <c r="C36" s="666"/>
      <c r="D36" s="99">
        <f t="shared" ref="D36:R36" si="21">D32*D34</f>
        <v>4.7885276553724524E-3</v>
      </c>
      <c r="E36" s="94">
        <f t="shared" si="21"/>
        <v>7.6616442485959221E-3</v>
      </c>
      <c r="F36" s="101">
        <f t="shared" si="21"/>
        <v>2.052226138016765E-3</v>
      </c>
      <c r="G36" s="99">
        <f t="shared" si="21"/>
        <v>5.5561731563238881E-3</v>
      </c>
      <c r="H36" s="94">
        <f t="shared" si="21"/>
        <v>7.359545771848542E-3</v>
      </c>
      <c r="I36" s="101">
        <f t="shared" si="21"/>
        <v>2.4354930573956594E-3</v>
      </c>
      <c r="J36" s="99">
        <f t="shared" si="21"/>
        <v>6.1839386151869872E-3</v>
      </c>
      <c r="K36" s="94">
        <f t="shared" si="21"/>
        <v>8.1692293669374683E-3</v>
      </c>
      <c r="L36" s="101">
        <f t="shared" si="21"/>
        <v>2.637233068435039E-3</v>
      </c>
      <c r="M36" s="99">
        <f t="shared" si="21"/>
        <v>1.5201893592079753E-3</v>
      </c>
      <c r="N36" s="94">
        <f t="shared" si="21"/>
        <v>1.9315069534275434E-3</v>
      </c>
      <c r="O36" s="101">
        <f t="shared" si="21"/>
        <v>1.0211946604707317E-3</v>
      </c>
      <c r="P36" s="99">
        <f t="shared" si="21"/>
        <v>1.5316246544757473E-3</v>
      </c>
      <c r="Q36" s="94">
        <f t="shared" si="21"/>
        <v>1.8107877688383219E-3</v>
      </c>
      <c r="R36" s="101">
        <f t="shared" si="21"/>
        <v>1.3144977877493004E-3</v>
      </c>
      <c r="S36" s="1162"/>
      <c r="T36" s="93"/>
      <c r="U36" s="742">
        <f>U32*U34</f>
        <v>3.1767829417181392E-3</v>
      </c>
      <c r="V36" s="743">
        <f>V32*V34</f>
        <v>2.8030437721042411E-3</v>
      </c>
      <c r="W36" s="743">
        <f>W32*W34</f>
        <v>3.5038047151303015E-3</v>
      </c>
      <c r="X36" s="743">
        <f>X32*X34</f>
        <v>2.4493143213769031E-3</v>
      </c>
      <c r="Y36" s="743">
        <f>Y32*Y34</f>
        <v>2.4493143213769031E-3</v>
      </c>
      <c r="Z36" s="741" t="s">
        <v>368</v>
      </c>
      <c r="AA36" s="32">
        <f>'FINAL BIPT &amp; Cullen 2014'!D36-D36</f>
        <v>-2.9030657221348673E-3</v>
      </c>
      <c r="AB36" s="82">
        <f>'FINAL BIPT &amp; Cullen 2014'!J36-J36</f>
        <v>-4.2984766819494022E-3</v>
      </c>
      <c r="AC36" s="82">
        <f>'FINAL BIPT &amp; Cullen 2014'!P36-P36</f>
        <v>1.3071607281516281E-3</v>
      </c>
      <c r="AD36" s="354">
        <f>'FINAL BIPT &amp; Cullen 2014'!G36-G36</f>
        <v>-4.3958888897161433E-3</v>
      </c>
      <c r="AE36" s="387"/>
      <c r="AF36" s="38" t="s">
        <v>368</v>
      </c>
      <c r="AG36" s="99">
        <f>D36-U36</f>
        <v>1.6117447136543132E-3</v>
      </c>
      <c r="AH36" s="100">
        <f>J36-V36</f>
        <v>3.3808948430827462E-3</v>
      </c>
      <c r="AI36" s="100">
        <f>P36-Y36</f>
        <v>-9.1768966690115579E-4</v>
      </c>
      <c r="AJ36" s="83">
        <f>M36-X36</f>
        <v>-9.2912496216892779E-4</v>
      </c>
      <c r="AK36" s="1317"/>
    </row>
    <row r="37" spans="1:37" s="1004" customFormat="1">
      <c r="A37" s="223"/>
      <c r="B37" s="663"/>
      <c r="C37" s="664"/>
      <c r="D37" s="96"/>
      <c r="E37" s="97"/>
      <c r="F37" s="98"/>
      <c r="G37" s="96"/>
      <c r="H37" s="97"/>
      <c r="I37" s="98"/>
      <c r="J37" s="96"/>
      <c r="K37" s="97"/>
      <c r="L37" s="98"/>
      <c r="M37" s="96"/>
      <c r="N37" s="97"/>
      <c r="O37" s="98"/>
      <c r="P37" s="96"/>
      <c r="Q37" s="97"/>
      <c r="R37" s="98"/>
      <c r="S37" s="1162"/>
      <c r="T37" s="103"/>
      <c r="U37" s="750"/>
      <c r="V37" s="103"/>
      <c r="W37" s="93"/>
      <c r="X37" s="93"/>
      <c r="Y37" s="103"/>
      <c r="Z37" s="428"/>
      <c r="AA37" s="298"/>
      <c r="AB37" s="95"/>
      <c r="AC37" s="95"/>
      <c r="AD37" s="98"/>
      <c r="AE37" s="428"/>
      <c r="AF37" s="105"/>
      <c r="AG37" s="298"/>
      <c r="AH37" s="95"/>
      <c r="AI37" s="95"/>
      <c r="AJ37" s="356"/>
      <c r="AK37" s="1305"/>
    </row>
    <row r="38" spans="1:37" ht="13.15" customHeight="1">
      <c r="A38" s="224" t="s">
        <v>24</v>
      </c>
      <c r="B38" s="856" t="s">
        <v>255</v>
      </c>
      <c r="C38" s="838"/>
      <c r="D38" s="839">
        <f t="shared" ref="D38:R38" si="22">D28-D36</f>
        <v>7.138444305194426E-2</v>
      </c>
      <c r="E38" s="840">
        <f t="shared" si="22"/>
        <v>6.3550957077957798E-2</v>
      </c>
      <c r="F38" s="841">
        <f t="shared" si="22"/>
        <v>8.685949016078591E-2</v>
      </c>
      <c r="G38" s="839">
        <f t="shared" si="22"/>
        <v>9.4174611436272107E-2</v>
      </c>
      <c r="H38" s="840">
        <f t="shared" si="22"/>
        <v>7.7154624891577997E-2</v>
      </c>
      <c r="I38" s="841">
        <f t="shared" si="22"/>
        <v>0.11396472932499227</v>
      </c>
      <c r="J38" s="862">
        <f>J28-J36</f>
        <v>7.5371399203567876E-2</v>
      </c>
      <c r="K38" s="840">
        <f t="shared" si="22"/>
        <v>6.403837515869959E-2</v>
      </c>
      <c r="L38" s="841">
        <f t="shared" si="22"/>
        <v>9.4330612591154842E-2</v>
      </c>
      <c r="M38" s="839">
        <f t="shared" si="22"/>
        <v>8.6142783260974132E-2</v>
      </c>
      <c r="N38" s="840">
        <f t="shared" si="22"/>
        <v>7.6605472137841205E-2</v>
      </c>
      <c r="O38" s="841">
        <f t="shared" si="22"/>
        <v>9.8441870776361462E-2</v>
      </c>
      <c r="P38" s="863">
        <f t="shared" si="22"/>
        <v>8.6303071530882375E-2</v>
      </c>
      <c r="Q38" s="858">
        <f t="shared" si="22"/>
        <v>7.5306623135547035E-2</v>
      </c>
      <c r="R38" s="859">
        <f t="shared" si="22"/>
        <v>0.10398787319927159</v>
      </c>
      <c r="S38" s="1163"/>
      <c r="T38" s="361">
        <v>40269</v>
      </c>
      <c r="U38" s="850">
        <f>U28-U36</f>
        <v>9.6986465051010232E-2</v>
      </c>
      <c r="V38" s="851">
        <f>V28-V36</f>
        <v>9.6121785799172826E-2</v>
      </c>
      <c r="W38" s="852">
        <f>W28-W36</f>
        <v>9.9437226946739107E-2</v>
      </c>
      <c r="X38" s="852">
        <f>X28-X36</f>
        <v>0.10128705138078943</v>
      </c>
      <c r="Y38" s="853">
        <f>Y28-Y36</f>
        <v>0.1004917173404925</v>
      </c>
      <c r="Z38" s="854" t="s">
        <v>281</v>
      </c>
      <c r="AA38" s="839">
        <f>'FINAL BIPT &amp; Cullen 2014'!D38-D38</f>
        <v>2.291694529983096E-3</v>
      </c>
      <c r="AB38" s="1030">
        <f>'FINAL BIPT &amp; Cullen 2014'!J38-J38</f>
        <v>5.9777606294981606E-3</v>
      </c>
      <c r="AC38" s="1031">
        <f>'FINAL BIPT &amp; Cullen 2014'!P38-P38</f>
        <v>-4.9886265521812828E-3</v>
      </c>
      <c r="AD38" s="1559">
        <f>'FINAL BIPT &amp; Cullen 2014'!G38-G38</f>
        <v>-4.6922892536717387E-4</v>
      </c>
      <c r="AE38" s="427"/>
      <c r="AF38" s="857" t="s">
        <v>281</v>
      </c>
      <c r="AG38" s="839">
        <f>D38-U38</f>
        <v>-2.5602021999065971E-2</v>
      </c>
      <c r="AH38" s="867">
        <f>J38-V38</f>
        <v>-2.075038659560495E-2</v>
      </c>
      <c r="AI38" s="868">
        <f>P38-Y38</f>
        <v>-1.4188645809610129E-2</v>
      </c>
      <c r="AJ38" s="855">
        <f>M38-X38</f>
        <v>-1.5144268119815299E-2</v>
      </c>
      <c r="AK38" s="1317"/>
    </row>
    <row r="39" spans="1:37">
      <c r="A39" s="224"/>
      <c r="B39" s="323" t="s">
        <v>376</v>
      </c>
      <c r="C39" s="783"/>
      <c r="D39" s="484"/>
      <c r="E39" s="789"/>
      <c r="F39" s="789"/>
      <c r="G39" s="789"/>
      <c r="H39" s="789"/>
      <c r="I39" s="789"/>
      <c r="J39" s="789"/>
      <c r="K39" s="790"/>
      <c r="L39" s="789"/>
      <c r="M39" s="791"/>
      <c r="N39" s="647"/>
      <c r="O39" s="648"/>
      <c r="P39" s="864">
        <f>P38-J38</f>
        <v>1.0931672327314498E-2</v>
      </c>
      <c r="Q39" s="748">
        <f>Q38-K38</f>
        <v>1.1268247976847445E-2</v>
      </c>
      <c r="R39" s="749">
        <f>R38-L38</f>
        <v>9.6572606081167522E-3</v>
      </c>
      <c r="S39" s="1164"/>
      <c r="T39" s="52"/>
      <c r="U39" s="721"/>
      <c r="V39" s="792"/>
      <c r="W39" s="793"/>
      <c r="X39" s="794"/>
      <c r="Y39" s="803">
        <f>Y38-V38</f>
        <v>4.3699315413196771E-3</v>
      </c>
      <c r="Z39" s="798" t="s">
        <v>378</v>
      </c>
      <c r="AA39" s="797"/>
      <c r="AB39" s="797"/>
      <c r="AC39" s="1021">
        <f>AC38-AB38</f>
        <v>-1.0966387181679443E-2</v>
      </c>
      <c r="AD39" s="797"/>
      <c r="AE39" s="95"/>
      <c r="AF39" s="1022" t="s">
        <v>378</v>
      </c>
      <c r="AG39" s="797"/>
      <c r="AH39" s="797"/>
      <c r="AI39" s="869">
        <f>AI38-AH38</f>
        <v>6.5617407859948212E-3</v>
      </c>
      <c r="AJ39" s="796"/>
      <c r="AK39" s="1317"/>
    </row>
    <row r="40" spans="1:37">
      <c r="A40" s="225" t="s">
        <v>146</v>
      </c>
      <c r="B40" s="1801" t="s">
        <v>399</v>
      </c>
      <c r="C40" s="1802"/>
      <c r="D40" s="299">
        <f>AVERAGE(E38,F38)</f>
        <v>7.5205223619371847E-2</v>
      </c>
      <c r="E40" s="94"/>
      <c r="F40" s="94"/>
      <c r="G40" s="94">
        <f>AVERAGE(H38,I38)</f>
        <v>9.555967710828514E-2</v>
      </c>
      <c r="H40" s="94"/>
      <c r="I40" s="94"/>
      <c r="J40" s="94">
        <f>AVERAGE(K38,L38)</f>
        <v>7.9184493874927209E-2</v>
      </c>
      <c r="K40" s="94"/>
      <c r="L40" s="94"/>
      <c r="M40" s="94">
        <f>AVERAGE(N38,O38)</f>
        <v>8.7523671457101326E-2</v>
      </c>
      <c r="N40" s="94"/>
      <c r="O40" s="94"/>
      <c r="P40" s="94">
        <f>AVERAGE(Q38,R38)</f>
        <v>8.9647248167409321E-2</v>
      </c>
      <c r="Q40" s="67"/>
      <c r="R40" s="67"/>
      <c r="S40" s="1164"/>
      <c r="T40" s="361">
        <v>40118</v>
      </c>
      <c r="U40" s="33">
        <v>9.2611345840225401E-2</v>
      </c>
      <c r="V40" s="33">
        <v>8.9419535439103887E-2</v>
      </c>
      <c r="W40" s="33">
        <v>9.6577593060431122E-2</v>
      </c>
      <c r="X40" s="33">
        <v>9.8472793686555607E-2</v>
      </c>
      <c r="Y40" s="33">
        <v>9.7715332695796631E-2</v>
      </c>
      <c r="Z40" s="51"/>
      <c r="AA40" s="51"/>
      <c r="AB40" s="51"/>
      <c r="AC40" s="51"/>
      <c r="AD40" s="51"/>
      <c r="AE40" s="51"/>
      <c r="AF40" s="51"/>
      <c r="AG40" s="52"/>
      <c r="AH40" s="95"/>
      <c r="AI40" s="433"/>
      <c r="AJ40" s="95"/>
    </row>
    <row r="41" spans="1:37" s="1011" customFormat="1">
      <c r="A41" s="554" t="s">
        <v>369</v>
      </c>
      <c r="B41" s="1803"/>
      <c r="C41" s="1804"/>
      <c r="D41" s="780"/>
      <c r="E41" s="576"/>
      <c r="F41" s="576"/>
      <c r="G41" s="576"/>
      <c r="H41" s="555"/>
      <c r="I41" s="555"/>
      <c r="J41" s="556"/>
      <c r="K41" s="559"/>
      <c r="L41" s="543"/>
      <c r="M41" s="543"/>
      <c r="N41" s="543"/>
      <c r="O41" s="543"/>
      <c r="P41" s="94"/>
      <c r="Q41" s="543"/>
      <c r="R41" s="543"/>
      <c r="S41" s="1167"/>
      <c r="T41" s="560"/>
      <c r="U41" s="560"/>
      <c r="V41" s="560"/>
      <c r="W41" s="561"/>
      <c r="X41" s="561"/>
      <c r="Y41" s="560"/>
      <c r="Z41" s="560"/>
      <c r="AA41" s="562"/>
      <c r="AB41" s="562"/>
      <c r="AC41" s="543"/>
      <c r="AD41" s="562"/>
      <c r="AE41" s="562"/>
      <c r="AF41" s="543"/>
      <c r="AG41" s="570"/>
      <c r="AH41" s="570"/>
      <c r="AI41" s="543"/>
      <c r="AJ41" s="570"/>
      <c r="AK41" s="1310"/>
    </row>
    <row r="42" spans="1:37" s="1011" customFormat="1">
      <c r="A42" s="601"/>
      <c r="B42" s="967" t="s">
        <v>363</v>
      </c>
      <c r="C42" s="543"/>
      <c r="D42" s="884"/>
      <c r="E42" s="67"/>
      <c r="F42" s="576"/>
      <c r="G42" s="576"/>
      <c r="H42" s="555"/>
      <c r="I42" s="555"/>
      <c r="J42" s="556"/>
      <c r="K42" s="559"/>
      <c r="L42" s="557"/>
      <c r="M42" s="555"/>
      <c r="N42" s="555"/>
      <c r="O42" s="555"/>
      <c r="P42" s="556"/>
      <c r="Q42" s="555"/>
      <c r="R42" s="569"/>
      <c r="S42" s="1167"/>
      <c r="T42" s="543"/>
      <c r="U42" s="543"/>
      <c r="V42" s="543"/>
      <c r="W42" s="543"/>
      <c r="X42" s="543"/>
      <c r="Y42" s="543"/>
      <c r="Z42" s="543"/>
      <c r="AA42" s="551"/>
      <c r="AB42" s="570"/>
      <c r="AC42" s="570"/>
      <c r="AD42" s="570"/>
      <c r="AE42" s="570"/>
      <c r="AF42" s="570"/>
      <c r="AG42" s="570"/>
      <c r="AH42" s="570"/>
      <c r="AI42" s="570"/>
      <c r="AJ42" s="570"/>
      <c r="AK42" s="1310"/>
    </row>
    <row r="43" spans="1:37" s="1011" customFormat="1">
      <c r="A43" s="554" t="s">
        <v>176</v>
      </c>
      <c r="B43" s="572"/>
      <c r="C43" s="568"/>
      <c r="D43" s="550"/>
      <c r="E43" s="543"/>
      <c r="F43" s="543"/>
      <c r="G43" s="543"/>
      <c r="H43" s="543"/>
      <c r="I43" s="543"/>
      <c r="J43" s="543"/>
      <c r="K43" s="543"/>
      <c r="L43" s="543"/>
      <c r="M43" s="543"/>
      <c r="N43" s="543"/>
      <c r="O43" s="543"/>
      <c r="P43" s="543"/>
      <c r="Q43" s="543"/>
      <c r="R43" s="543"/>
      <c r="S43" s="1167"/>
      <c r="T43" s="543"/>
      <c r="U43" s="543"/>
      <c r="V43" s="543"/>
      <c r="W43" s="543"/>
      <c r="X43" s="543"/>
      <c r="Y43" s="543"/>
      <c r="Z43" s="543"/>
      <c r="AA43" s="573"/>
      <c r="AB43" s="573"/>
      <c r="AC43" s="573"/>
      <c r="AD43" s="573"/>
      <c r="AE43" s="573"/>
      <c r="AF43" s="573"/>
      <c r="AG43" s="559"/>
      <c r="AH43" s="545"/>
      <c r="AI43" s="545"/>
      <c r="AJ43" s="545"/>
      <c r="AK43" s="1310"/>
    </row>
    <row r="44" spans="1:37" s="1343" customFormat="1" ht="3.75" customHeight="1">
      <c r="A44" s="1345"/>
      <c r="B44" s="1353"/>
      <c r="C44" s="1346"/>
      <c r="D44" s="1354"/>
      <c r="S44" s="1355"/>
      <c r="AA44" s="1356"/>
      <c r="AB44" s="1356"/>
      <c r="AC44" s="1356"/>
      <c r="AD44" s="1356"/>
      <c r="AE44" s="1356"/>
      <c r="AF44" s="1356"/>
      <c r="AG44" s="1339"/>
      <c r="AH44" s="1310"/>
      <c r="AI44" s="1310"/>
      <c r="AJ44" s="1310"/>
      <c r="AK44" s="1310"/>
    </row>
    <row r="45" spans="1:37" s="1011" customFormat="1" ht="13.15" customHeight="1">
      <c r="A45" s="539" t="s">
        <v>175</v>
      </c>
      <c r="B45" s="540" t="s">
        <v>402</v>
      </c>
      <c r="C45" s="541"/>
      <c r="D45" s="542"/>
      <c r="E45" s="541"/>
      <c r="F45" s="541"/>
      <c r="G45" s="541"/>
      <c r="H45" s="541"/>
      <c r="I45" s="541"/>
      <c r="J45" s="541"/>
      <c r="K45" s="541"/>
      <c r="L45" s="541"/>
      <c r="M45" s="541"/>
      <c r="N45" s="541"/>
      <c r="O45" s="541"/>
      <c r="P45" s="541"/>
      <c r="Q45" s="541"/>
      <c r="R45" s="541"/>
      <c r="S45" s="1167"/>
      <c r="T45" s="541"/>
      <c r="U45" s="541"/>
      <c r="V45" s="541"/>
      <c r="W45" s="541"/>
      <c r="X45" s="541"/>
      <c r="Y45" s="541"/>
      <c r="Z45" s="541"/>
      <c r="AA45" s="768"/>
      <c r="AB45" s="768"/>
      <c r="AC45" s="768"/>
      <c r="AD45" s="768"/>
      <c r="AE45" s="768"/>
      <c r="AF45" s="768"/>
      <c r="AG45" s="541"/>
      <c r="AH45" s="541"/>
      <c r="AI45" s="541"/>
      <c r="AJ45" s="541"/>
      <c r="AK45" s="1310"/>
    </row>
    <row r="46" spans="1:37" s="1011" customFormat="1" ht="13.15" customHeight="1">
      <c r="A46" s="539"/>
      <c r="B46" s="551"/>
      <c r="C46" s="545"/>
      <c r="D46" s="542"/>
      <c r="E46" s="541"/>
      <c r="F46" s="541"/>
      <c r="G46" s="541"/>
      <c r="H46" s="541"/>
      <c r="I46" s="541"/>
      <c r="J46" s="541"/>
      <c r="K46" s="541"/>
      <c r="L46" s="541"/>
      <c r="M46" s="541"/>
      <c r="N46" s="541"/>
      <c r="O46" s="541"/>
      <c r="P46" s="541"/>
      <c r="Q46" s="541"/>
      <c r="R46" s="541"/>
      <c r="S46" s="1167"/>
      <c r="T46" s="541"/>
      <c r="U46" s="541"/>
      <c r="V46" s="541"/>
      <c r="W46" s="541"/>
      <c r="X46" s="541"/>
      <c r="Y46" s="541"/>
      <c r="Z46" s="541"/>
      <c r="AA46" s="768"/>
      <c r="AB46" s="768"/>
      <c r="AC46" s="768"/>
      <c r="AD46" s="768"/>
      <c r="AE46" s="768"/>
      <c r="AF46" s="768"/>
      <c r="AG46" s="541"/>
      <c r="AH46" s="541"/>
      <c r="AI46" s="541"/>
      <c r="AJ46" s="541"/>
      <c r="AK46" s="1310"/>
    </row>
    <row r="47" spans="1:37" s="1011" customFormat="1" ht="13.15" customHeight="1">
      <c r="A47" s="539"/>
      <c r="B47" s="551"/>
      <c r="C47" s="545"/>
      <c r="D47" s="542"/>
      <c r="E47" s="541"/>
      <c r="F47" s="541"/>
      <c r="G47" s="541"/>
      <c r="H47" s="541"/>
      <c r="I47" s="541"/>
      <c r="J47" s="541"/>
      <c r="K47" s="541"/>
      <c r="L47" s="541"/>
      <c r="M47" s="541"/>
      <c r="N47" s="541"/>
      <c r="O47" s="541"/>
      <c r="P47" s="541"/>
      <c r="Q47" s="541"/>
      <c r="R47" s="541"/>
      <c r="S47" s="1167"/>
      <c r="T47" s="541"/>
      <c r="U47" s="541"/>
      <c r="V47" s="541"/>
      <c r="W47" s="541"/>
      <c r="X47" s="541"/>
      <c r="Y47" s="541"/>
      <c r="Z47" s="541"/>
      <c r="AA47" s="768"/>
      <c r="AB47" s="768"/>
      <c r="AC47" s="768"/>
      <c r="AD47" s="768"/>
      <c r="AE47" s="768"/>
      <c r="AF47" s="768"/>
      <c r="AG47" s="541"/>
      <c r="AH47" s="541"/>
      <c r="AI47" s="541"/>
      <c r="AJ47" s="541"/>
      <c r="AK47" s="1310"/>
    </row>
    <row r="48" spans="1:37" s="1011" customFormat="1" ht="13.15" customHeight="1">
      <c r="A48" s="539"/>
      <c r="B48" s="551"/>
      <c r="C48" s="545"/>
      <c r="D48" s="542"/>
      <c r="E48" s="541"/>
      <c r="F48" s="541"/>
      <c r="G48" s="541"/>
      <c r="H48" s="541"/>
      <c r="I48" s="541"/>
      <c r="J48" s="541"/>
      <c r="K48" s="541"/>
      <c r="L48" s="541"/>
      <c r="M48" s="541"/>
      <c r="N48" s="541"/>
      <c r="O48" s="541"/>
      <c r="P48" s="541"/>
      <c r="Q48" s="541"/>
      <c r="R48" s="541"/>
      <c r="S48" s="1167"/>
      <c r="T48" s="541"/>
      <c r="U48" s="541"/>
      <c r="V48" s="541"/>
      <c r="W48" s="541"/>
      <c r="X48" s="541"/>
      <c r="Y48" s="541"/>
      <c r="Z48" s="541"/>
      <c r="AA48" s="768"/>
      <c r="AB48" s="768"/>
      <c r="AC48" s="768"/>
      <c r="AD48" s="768"/>
      <c r="AE48" s="768"/>
      <c r="AF48" s="768"/>
      <c r="AG48" s="541"/>
      <c r="AH48" s="541"/>
      <c r="AI48" s="541"/>
      <c r="AJ48" s="541"/>
      <c r="AK48" s="1310"/>
    </row>
    <row r="49" spans="1:37" s="1011" customFormat="1">
      <c r="A49" s="539"/>
      <c r="B49" s="545"/>
      <c r="C49" s="552"/>
      <c r="D49" s="553"/>
      <c r="E49" s="549"/>
      <c r="F49" s="549"/>
      <c r="G49" s="549"/>
      <c r="H49" s="549"/>
      <c r="I49" s="549"/>
      <c r="J49" s="549"/>
      <c r="K49" s="549"/>
      <c r="L49" s="549"/>
      <c r="M49" s="549"/>
      <c r="N49" s="549"/>
      <c r="O49" s="549"/>
      <c r="P49" s="549"/>
      <c r="Q49" s="549"/>
      <c r="R49" s="549"/>
      <c r="S49" s="1166"/>
      <c r="T49" s="549"/>
      <c r="U49" s="549"/>
      <c r="V49" s="549"/>
      <c r="W49" s="549"/>
      <c r="X49" s="549"/>
      <c r="Y49" s="549"/>
      <c r="Z49" s="549"/>
      <c r="AA49" s="769"/>
      <c r="AB49" s="769"/>
      <c r="AC49" s="769"/>
      <c r="AD49" s="769"/>
      <c r="AE49" s="769"/>
      <c r="AF49" s="769"/>
      <c r="AG49" s="541"/>
      <c r="AH49" s="541"/>
      <c r="AI49" s="541"/>
      <c r="AJ49" s="541"/>
      <c r="AK49" s="1310"/>
    </row>
    <row r="50" spans="1:37" s="1011" customFormat="1">
      <c r="A50" s="539"/>
      <c r="B50" s="545"/>
      <c r="C50" s="552"/>
      <c r="D50" s="553"/>
      <c r="E50" s="549"/>
      <c r="F50" s="549"/>
      <c r="G50" s="549"/>
      <c r="H50" s="549"/>
      <c r="I50" s="549"/>
      <c r="J50" s="549"/>
      <c r="K50" s="549"/>
      <c r="L50" s="549"/>
      <c r="M50" s="549"/>
      <c r="N50" s="549"/>
      <c r="O50" s="549"/>
      <c r="P50" s="549"/>
      <c r="Q50" s="549"/>
      <c r="R50" s="549"/>
      <c r="S50" s="1166"/>
      <c r="T50" s="549"/>
      <c r="U50" s="549"/>
      <c r="V50" s="549"/>
      <c r="W50" s="549"/>
      <c r="X50" s="549"/>
      <c r="Y50" s="549"/>
      <c r="Z50" s="549"/>
      <c r="AA50" s="769"/>
      <c r="AB50" s="769"/>
      <c r="AC50" s="769"/>
      <c r="AD50" s="769"/>
      <c r="AE50" s="769"/>
      <c r="AF50" s="769"/>
      <c r="AG50" s="541"/>
      <c r="AH50" s="541"/>
      <c r="AI50" s="541"/>
      <c r="AJ50" s="541"/>
      <c r="AK50" s="1310"/>
    </row>
    <row r="51" spans="1:37" s="1011" customFormat="1">
      <c r="A51" s="539"/>
      <c r="B51" s="545"/>
      <c r="C51" s="552"/>
      <c r="D51" s="553"/>
      <c r="E51" s="549"/>
      <c r="F51" s="549"/>
      <c r="G51" s="549"/>
      <c r="H51" s="549"/>
      <c r="I51" s="549"/>
      <c r="J51" s="549"/>
      <c r="K51" s="549"/>
      <c r="L51" s="549"/>
      <c r="M51" s="549"/>
      <c r="N51" s="549"/>
      <c r="O51" s="549"/>
      <c r="P51" s="549"/>
      <c r="Q51" s="549"/>
      <c r="R51" s="549"/>
      <c r="S51" s="1166"/>
      <c r="T51" s="549"/>
      <c r="U51" s="549"/>
      <c r="V51" s="549"/>
      <c r="W51" s="549"/>
      <c r="X51" s="549"/>
      <c r="Y51" s="549"/>
      <c r="Z51" s="549"/>
      <c r="AA51" s="769"/>
      <c r="AB51" s="769"/>
      <c r="AC51" s="769"/>
      <c r="AD51" s="769"/>
      <c r="AE51" s="769"/>
      <c r="AF51" s="769"/>
      <c r="AG51" s="541"/>
      <c r="AH51" s="541"/>
      <c r="AI51" s="541"/>
      <c r="AJ51" s="541"/>
      <c r="AK51" s="1310"/>
    </row>
    <row r="52" spans="1:37" s="1012" customFormat="1">
      <c r="A52" s="226"/>
      <c r="B52" s="662"/>
      <c r="C52" s="114"/>
      <c r="D52" s="309"/>
      <c r="E52" s="111"/>
      <c r="F52" s="111"/>
      <c r="G52" s="111"/>
      <c r="H52" s="111"/>
      <c r="I52" s="111"/>
      <c r="J52" s="111"/>
      <c r="K52" s="111"/>
      <c r="L52" s="111"/>
      <c r="M52" s="111"/>
      <c r="N52" s="111"/>
      <c r="O52" s="111"/>
      <c r="P52" s="111"/>
      <c r="Q52" s="111"/>
      <c r="R52" s="111"/>
      <c r="S52" s="1159"/>
      <c r="T52" s="111"/>
      <c r="U52" s="111"/>
      <c r="V52" s="111"/>
      <c r="W52" s="111"/>
      <c r="X52" s="111"/>
      <c r="Y52" s="111"/>
      <c r="Z52" s="111"/>
      <c r="AA52" s="202"/>
      <c r="AB52" s="202"/>
      <c r="AC52" s="202"/>
      <c r="AD52" s="202"/>
      <c r="AE52" s="202"/>
      <c r="AF52" s="202"/>
      <c r="AG52" s="105"/>
      <c r="AH52" s="122"/>
      <c r="AI52" s="122"/>
      <c r="AJ52" s="122"/>
      <c r="AK52" s="1319"/>
    </row>
    <row r="53" spans="1:37" s="1337" customFormat="1">
      <c r="A53" s="1334"/>
      <c r="B53" s="1306"/>
      <c r="C53" s="1335"/>
      <c r="D53" s="1336"/>
      <c r="S53" s="1338"/>
      <c r="AA53" s="1332"/>
      <c r="AB53" s="1332"/>
      <c r="AC53" s="1332"/>
      <c r="AD53" s="1332"/>
      <c r="AE53" s="1332"/>
      <c r="AF53" s="1332"/>
      <c r="AG53" s="1333"/>
      <c r="AH53" s="1319"/>
      <c r="AI53" s="1319"/>
      <c r="AJ53" s="1319"/>
      <c r="AK53" s="1319"/>
    </row>
    <row r="54" spans="1:37" s="1012" customFormat="1">
      <c r="A54" s="226"/>
      <c r="B54" s="1844" t="s">
        <v>403</v>
      </c>
      <c r="C54" s="1845"/>
      <c r="D54" s="309"/>
      <c r="E54" s="111"/>
      <c r="F54" s="111"/>
      <c r="G54" s="111"/>
      <c r="H54" s="111"/>
      <c r="I54" s="111"/>
      <c r="J54" s="111"/>
      <c r="K54" s="111"/>
      <c r="L54" s="111"/>
      <c r="M54" s="111"/>
      <c r="N54" s="111"/>
      <c r="O54" s="111"/>
      <c r="P54" s="111"/>
      <c r="Q54" s="111"/>
      <c r="R54" s="111"/>
      <c r="S54" s="1159"/>
      <c r="T54" s="111"/>
      <c r="U54" s="111"/>
      <c r="V54" s="111"/>
      <c r="W54" s="111"/>
      <c r="X54" s="111"/>
      <c r="Y54" s="111"/>
      <c r="Z54" s="111"/>
      <c r="AA54" s="1332"/>
      <c r="AB54" s="1332"/>
      <c r="AC54" s="1332"/>
      <c r="AD54" s="1332"/>
      <c r="AE54" s="1332"/>
      <c r="AF54" s="1332"/>
      <c r="AG54" s="1333"/>
      <c r="AH54" s="1319"/>
      <c r="AI54" s="1319"/>
      <c r="AJ54" s="1319"/>
      <c r="AK54" s="1319"/>
    </row>
    <row r="55" spans="1:37">
      <c r="A55" s="216"/>
      <c r="B55" s="662"/>
      <c r="C55" s="155"/>
      <c r="D55" s="300"/>
      <c r="E55" s="48"/>
      <c r="F55" s="48"/>
      <c r="G55" s="48"/>
      <c r="H55" s="152"/>
      <c r="I55" s="153"/>
      <c r="J55" s="48"/>
      <c r="K55" s="48"/>
      <c r="L55" s="48"/>
      <c r="M55" s="48"/>
      <c r="N55" s="48"/>
      <c r="O55" s="67"/>
      <c r="P55" s="662"/>
      <c r="Q55" s="67"/>
      <c r="R55" s="67"/>
      <c r="T55" s="69"/>
      <c r="U55" s="69"/>
      <c r="V55" s="69"/>
      <c r="W55" s="69"/>
      <c r="X55" s="69"/>
      <c r="Y55" s="69"/>
      <c r="Z55" s="69"/>
      <c r="AA55" s="1324"/>
      <c r="AB55" s="1324"/>
      <c r="AC55" s="1324"/>
      <c r="AD55" s="1324"/>
      <c r="AE55" s="1324"/>
      <c r="AF55" s="1324"/>
      <c r="AG55" s="1325"/>
      <c r="AH55" s="1306"/>
      <c r="AI55" s="1306"/>
      <c r="AJ55" s="1306"/>
    </row>
    <row r="56" spans="1:37" ht="13.5" thickBot="1">
      <c r="A56" s="216"/>
      <c r="B56" s="159" t="s">
        <v>181</v>
      </c>
      <c r="C56" s="160"/>
      <c r="D56" s="160"/>
      <c r="E56" s="160"/>
      <c r="F56" s="160"/>
      <c r="G56" s="160"/>
      <c r="H56" s="160"/>
      <c r="I56" s="160"/>
      <c r="J56" s="160"/>
      <c r="K56" s="160"/>
      <c r="L56" s="160"/>
      <c r="M56" s="160"/>
      <c r="N56" s="160"/>
      <c r="O56" s="160"/>
      <c r="P56" s="160"/>
      <c r="Q56" s="161"/>
      <c r="R56" s="161"/>
      <c r="T56" s="197"/>
      <c r="U56" s="196" t="s">
        <v>3</v>
      </c>
      <c r="V56" s="197"/>
      <c r="W56" s="197"/>
      <c r="X56" s="196" t="s">
        <v>2</v>
      </c>
      <c r="Y56" s="197"/>
      <c r="Z56" s="197"/>
      <c r="AA56" s="1326"/>
      <c r="AB56" s="1326"/>
      <c r="AC56" s="1326"/>
      <c r="AD56" s="1326"/>
      <c r="AE56" s="1326"/>
      <c r="AF56" s="1326"/>
      <c r="AG56" s="1325"/>
      <c r="AH56" s="1306"/>
      <c r="AI56" s="1306"/>
      <c r="AJ56" s="1306"/>
    </row>
    <row r="57" spans="1:37">
      <c r="A57" s="216"/>
      <c r="B57" s="204" t="s">
        <v>132</v>
      </c>
      <c r="C57" s="181"/>
      <c r="D57" s="902">
        <v>5.385479123784064</v>
      </c>
      <c r="E57" s="969"/>
      <c r="F57" s="969"/>
      <c r="G57" s="969"/>
      <c r="H57" s="969"/>
      <c r="I57" s="969"/>
      <c r="J57" s="969"/>
      <c r="K57" s="969"/>
      <c r="L57" s="969"/>
      <c r="M57" s="969"/>
      <c r="N57" s="969"/>
      <c r="O57" s="969"/>
      <c r="P57" s="969"/>
      <c r="Q57" s="970"/>
      <c r="R57" s="160"/>
      <c r="T57" s="197"/>
      <c r="U57" s="197" t="s">
        <v>75</v>
      </c>
      <c r="V57" s="198" t="s">
        <v>21</v>
      </c>
      <c r="W57" s="197" t="s">
        <v>5</v>
      </c>
      <c r="X57" s="196" t="s">
        <v>25</v>
      </c>
      <c r="Y57" s="199" t="s">
        <v>21</v>
      </c>
      <c r="Z57" s="196" t="s">
        <v>5</v>
      </c>
      <c r="AA57" s="1326"/>
      <c r="AB57" s="1326"/>
      <c r="AC57" s="1326"/>
      <c r="AD57" s="1326"/>
      <c r="AE57" s="1326"/>
      <c r="AF57" s="1326"/>
      <c r="AG57" s="1325"/>
      <c r="AH57" s="1306"/>
      <c r="AI57" s="1306"/>
      <c r="AJ57" s="1306"/>
    </row>
    <row r="58" spans="1:37">
      <c r="A58" s="216"/>
      <c r="B58" s="205" t="s">
        <v>0</v>
      </c>
      <c r="C58" s="183"/>
      <c r="D58" s="971" t="s">
        <v>151</v>
      </c>
      <c r="E58" s="115" t="s">
        <v>152</v>
      </c>
      <c r="F58" s="116" t="s">
        <v>153</v>
      </c>
      <c r="G58" s="117" t="s">
        <v>154</v>
      </c>
      <c r="H58" s="116" t="s">
        <v>155</v>
      </c>
      <c r="I58" s="116" t="s">
        <v>156</v>
      </c>
      <c r="J58" s="117" t="s">
        <v>157</v>
      </c>
      <c r="K58" s="116" t="s">
        <v>158</v>
      </c>
      <c r="L58" s="118" t="s">
        <v>159</v>
      </c>
      <c r="M58" s="116" t="s">
        <v>160</v>
      </c>
      <c r="N58" s="116" t="s">
        <v>161</v>
      </c>
      <c r="O58" s="116" t="s">
        <v>162</v>
      </c>
      <c r="P58" s="116" t="s">
        <v>163</v>
      </c>
      <c r="Q58" s="145" t="s">
        <v>164</v>
      </c>
      <c r="R58" s="160"/>
      <c r="T58" s="538" t="s">
        <v>173</v>
      </c>
      <c r="U58" s="123">
        <v>2142</v>
      </c>
      <c r="V58" s="123">
        <v>7685</v>
      </c>
      <c r="W58" s="200">
        <f>U58/V58</f>
        <v>0.27872478854912164</v>
      </c>
      <c r="X58" s="123">
        <v>308.5</v>
      </c>
      <c r="Y58" s="134">
        <v>2636</v>
      </c>
      <c r="Z58" s="200">
        <f>X58/Y58</f>
        <v>0.11703338391502276</v>
      </c>
      <c r="AA58" s="1326"/>
      <c r="AB58" s="1326"/>
      <c r="AC58" s="1326"/>
      <c r="AD58" s="1326"/>
      <c r="AE58" s="1326"/>
      <c r="AF58" s="1326"/>
      <c r="AG58" s="1325"/>
      <c r="AH58" s="1306"/>
      <c r="AI58" s="1306"/>
      <c r="AJ58" s="1306"/>
    </row>
    <row r="59" spans="1:37">
      <c r="A59" s="216"/>
      <c r="B59" s="240"/>
      <c r="C59" s="182"/>
      <c r="D59" s="972" t="s">
        <v>188</v>
      </c>
      <c r="E59" s="131">
        <v>1.181979226191376</v>
      </c>
      <c r="F59" s="132">
        <v>1.413911391796471</v>
      </c>
      <c r="G59" s="133">
        <v>1.645843557401566</v>
      </c>
      <c r="H59" s="132">
        <v>1.8484545977412687</v>
      </c>
      <c r="I59" s="132">
        <v>2.0510656380809715</v>
      </c>
      <c r="J59" s="133">
        <v>2.2536766784206739</v>
      </c>
      <c r="K59" s="132">
        <v>2.4419961051722674</v>
      </c>
      <c r="L59" s="497">
        <v>2.6303155319238605</v>
      </c>
      <c r="M59" s="132">
        <v>2.7390880160002933</v>
      </c>
      <c r="N59" s="132">
        <v>2.8478605000767261</v>
      </c>
      <c r="O59" s="132">
        <v>2.9566329841531589</v>
      </c>
      <c r="P59" s="132">
        <v>3.0654054682295917</v>
      </c>
      <c r="Q59" s="146">
        <v>3.1741779523060245</v>
      </c>
      <c r="R59" s="160"/>
      <c r="T59" s="538">
        <v>2008</v>
      </c>
      <c r="U59" s="201"/>
      <c r="V59" s="201"/>
      <c r="W59" s="201"/>
      <c r="X59" s="201"/>
      <c r="Y59" s="201"/>
      <c r="Z59" s="201"/>
      <c r="AA59" s="1327"/>
      <c r="AB59" s="1327"/>
      <c r="AC59" s="1327"/>
      <c r="AD59" s="1327"/>
      <c r="AE59" s="1327"/>
      <c r="AF59" s="1327"/>
      <c r="AG59" s="1325"/>
      <c r="AH59" s="1306"/>
      <c r="AI59" s="1306"/>
      <c r="AJ59" s="1306"/>
    </row>
    <row r="60" spans="1:37">
      <c r="A60" s="216"/>
      <c r="B60" s="240"/>
      <c r="C60" s="182"/>
      <c r="D60" s="971" t="s">
        <v>135</v>
      </c>
      <c r="E60" s="131">
        <v>0.70602738853503222</v>
      </c>
      <c r="F60" s="132">
        <v>0.93795955414012733</v>
      </c>
      <c r="G60" s="133">
        <v>1.1698917197452223</v>
      </c>
      <c r="H60" s="132">
        <v>1.3725027600849249</v>
      </c>
      <c r="I60" s="132">
        <v>1.5751138004246277</v>
      </c>
      <c r="J60" s="133">
        <v>1.7777248407643302</v>
      </c>
      <c r="K60" s="132">
        <v>1.9660442675159235</v>
      </c>
      <c r="L60" s="242">
        <v>2.1543636942675168</v>
      </c>
      <c r="M60" s="132">
        <v>2.2631361783439496</v>
      </c>
      <c r="N60" s="132">
        <v>2.3719086624203825</v>
      </c>
      <c r="O60" s="132">
        <v>2.4806811464968153</v>
      </c>
      <c r="P60" s="132">
        <v>2.5894536305732481</v>
      </c>
      <c r="Q60" s="146">
        <v>2.6982261146496809</v>
      </c>
      <c r="R60" s="160"/>
      <c r="T60" s="538">
        <v>2007</v>
      </c>
      <c r="U60" s="123">
        <v>2520</v>
      </c>
      <c r="V60" s="123">
        <v>11204.1</v>
      </c>
      <c r="W60" s="200">
        <f>U60/V60</f>
        <v>0.22491766406940317</v>
      </c>
      <c r="X60" s="123">
        <v>768</v>
      </c>
      <c r="Y60" s="134">
        <v>3939.9110000000001</v>
      </c>
      <c r="Z60" s="202">
        <f>X60/Y60</f>
        <v>0.19492826106985664</v>
      </c>
      <c r="AA60" s="1327"/>
      <c r="AB60" s="1327"/>
      <c r="AC60" s="1327"/>
      <c r="AD60" s="1327"/>
      <c r="AE60" s="1327"/>
      <c r="AF60" s="1327"/>
      <c r="AG60" s="1325"/>
      <c r="AH60" s="1306"/>
      <c r="AI60" s="1306"/>
      <c r="AJ60" s="1306"/>
    </row>
    <row r="61" spans="1:37">
      <c r="A61" s="216"/>
      <c r="B61" s="206"/>
      <c r="C61" s="182"/>
      <c r="D61" s="972" t="s">
        <v>136</v>
      </c>
      <c r="E61" s="131">
        <v>1.1401761891359397</v>
      </c>
      <c r="F61" s="132">
        <v>1.5147275691700326</v>
      </c>
      <c r="G61" s="133">
        <v>1.8892789492041253</v>
      </c>
      <c r="H61" s="132">
        <v>2.2164791224590581</v>
      </c>
      <c r="I61" s="132">
        <v>2.5436792957139911</v>
      </c>
      <c r="J61" s="133">
        <v>2.8708794689689237</v>
      </c>
      <c r="K61" s="132">
        <v>3.174999861209546</v>
      </c>
      <c r="L61" s="242">
        <v>3.4791202534501688</v>
      </c>
      <c r="M61" s="132">
        <v>3.6547788729188144</v>
      </c>
      <c r="N61" s="132">
        <v>3.83043749238746</v>
      </c>
      <c r="O61" s="132">
        <v>4.006096111856106</v>
      </c>
      <c r="P61" s="132">
        <v>4.1817547313247516</v>
      </c>
      <c r="Q61" s="146">
        <v>4.3574133507933972</v>
      </c>
      <c r="R61" s="160"/>
      <c r="T61" s="538">
        <v>2006</v>
      </c>
      <c r="U61" s="123">
        <v>2391</v>
      </c>
      <c r="V61" s="123">
        <v>11144.3</v>
      </c>
      <c r="W61" s="200">
        <f>U61/V61</f>
        <v>0.21454914171370118</v>
      </c>
      <c r="X61" s="123">
        <v>763.7</v>
      </c>
      <c r="Y61" s="134">
        <v>4091.6930000000002</v>
      </c>
      <c r="Z61" s="202">
        <f>X61/Y61</f>
        <v>0.18664645661343604</v>
      </c>
      <c r="AA61" s="1327"/>
      <c r="AB61" s="1327"/>
      <c r="AC61" s="1327"/>
      <c r="AD61" s="1327"/>
      <c r="AE61" s="1327"/>
      <c r="AF61" s="1327"/>
      <c r="AG61" s="1325"/>
      <c r="AH61" s="1306"/>
      <c r="AI61" s="1306"/>
      <c r="AJ61" s="1306"/>
    </row>
    <row r="62" spans="1:37">
      <c r="A62" s="216"/>
      <c r="B62" s="205" t="s">
        <v>134</v>
      </c>
      <c r="C62" s="183"/>
      <c r="D62" s="971" t="s">
        <v>151</v>
      </c>
      <c r="E62" s="115" t="s">
        <v>152</v>
      </c>
      <c r="F62" s="116" t="s">
        <v>153</v>
      </c>
      <c r="G62" s="117" t="s">
        <v>154</v>
      </c>
      <c r="H62" s="116" t="s">
        <v>155</v>
      </c>
      <c r="I62" s="116" t="s">
        <v>156</v>
      </c>
      <c r="J62" s="117" t="s">
        <v>157</v>
      </c>
      <c r="K62" s="116" t="s">
        <v>158</v>
      </c>
      <c r="L62" s="118" t="s">
        <v>159</v>
      </c>
      <c r="M62" s="116" t="s">
        <v>160</v>
      </c>
      <c r="N62" s="116" t="s">
        <v>161</v>
      </c>
      <c r="O62" s="116" t="s">
        <v>162</v>
      </c>
      <c r="P62" s="116" t="s">
        <v>163</v>
      </c>
      <c r="Q62" s="145" t="s">
        <v>164</v>
      </c>
      <c r="R62" s="160"/>
      <c r="T62" s="252">
        <v>2005</v>
      </c>
      <c r="U62" s="134">
        <v>2221</v>
      </c>
      <c r="V62" s="134">
        <v>9378</v>
      </c>
      <c r="W62" s="200">
        <f>U62/V62</f>
        <v>0.23683088078481554</v>
      </c>
      <c r="X62" s="134">
        <v>716.2</v>
      </c>
      <c r="Y62" s="134">
        <v>4238</v>
      </c>
      <c r="Z62" s="200">
        <f>X62/Y62</f>
        <v>0.16899480887210949</v>
      </c>
      <c r="AA62" s="1327"/>
      <c r="AB62" s="1327"/>
      <c r="AC62" s="1327"/>
      <c r="AD62" s="1327"/>
      <c r="AE62" s="1327"/>
      <c r="AF62" s="1327"/>
      <c r="AG62" s="1325"/>
      <c r="AH62" s="1306"/>
      <c r="AI62" s="1306"/>
      <c r="AJ62" s="1306"/>
    </row>
    <row r="63" spans="1:37">
      <c r="A63" s="216"/>
      <c r="B63" s="240"/>
      <c r="C63" s="182"/>
      <c r="D63" s="972" t="s">
        <v>188</v>
      </c>
      <c r="E63" s="131">
        <v>0.24410859326202269</v>
      </c>
      <c r="F63" s="132">
        <v>0.30865992510707513</v>
      </c>
      <c r="G63" s="133">
        <v>0.40514970566355185</v>
      </c>
      <c r="H63" s="132">
        <v>0.46576143995138364</v>
      </c>
      <c r="I63" s="132">
        <v>0.54300242318893399</v>
      </c>
      <c r="J63" s="133">
        <v>0.6448042195186755</v>
      </c>
      <c r="K63" s="132">
        <v>0.64271104592942219</v>
      </c>
      <c r="L63" s="497">
        <v>0.64031868806607062</v>
      </c>
      <c r="M63" s="132">
        <v>0.63978855783819</v>
      </c>
      <c r="N63" s="132">
        <v>0.63921848005438198</v>
      </c>
      <c r="O63" s="132">
        <v>0.63860376260335916</v>
      </c>
      <c r="P63" s="132">
        <v>0.63793894860433586</v>
      </c>
      <c r="Q63" s="146">
        <v>0.63721765397564589</v>
      </c>
      <c r="R63" s="160"/>
      <c r="T63" s="253" t="s">
        <v>174</v>
      </c>
      <c r="U63" s="197"/>
      <c r="V63" s="203"/>
      <c r="W63" s="200">
        <f>AVERAGE(W58,W60:W62)</f>
        <v>0.23875561877926038</v>
      </c>
      <c r="X63" s="196"/>
      <c r="Y63" s="196"/>
      <c r="Z63" s="200">
        <f>AVERAGE(Z58,Z60:Z62)</f>
        <v>0.16690072761760621</v>
      </c>
      <c r="AA63" s="1327"/>
      <c r="AB63" s="1327"/>
      <c r="AC63" s="1327"/>
      <c r="AD63" s="1327"/>
      <c r="AE63" s="1327"/>
      <c r="AF63" s="1327"/>
      <c r="AG63" s="1325"/>
      <c r="AH63" s="1306"/>
      <c r="AI63" s="1306"/>
      <c r="AJ63" s="1306"/>
    </row>
    <row r="64" spans="1:37">
      <c r="A64" s="216"/>
      <c r="B64" s="240"/>
      <c r="C64" s="182"/>
      <c r="D64" s="971" t="s">
        <v>135</v>
      </c>
      <c r="E64" s="131">
        <v>0.246048237219228</v>
      </c>
      <c r="F64" s="132">
        <v>0.31111248259620355</v>
      </c>
      <c r="G64" s="133">
        <v>0.40836895398190298</v>
      </c>
      <c r="H64" s="132">
        <v>0.46946229845221993</v>
      </c>
      <c r="I64" s="132">
        <v>0.54731702496026824</v>
      </c>
      <c r="J64" s="133">
        <v>0.64992772046248459</v>
      </c>
      <c r="K64" s="132">
        <v>0.64781791488396157</v>
      </c>
      <c r="L64" s="242">
        <v>0.64540654776570794</v>
      </c>
      <c r="M64" s="132">
        <v>0.64487220521625632</v>
      </c>
      <c r="N64" s="132">
        <v>0.64429759769462258</v>
      </c>
      <c r="O64" s="132">
        <v>0.64367799580682783</v>
      </c>
      <c r="P64" s="132">
        <v>0.64300789931267133</v>
      </c>
      <c r="Q64" s="146">
        <v>0.64228087340369655</v>
      </c>
      <c r="R64" s="160"/>
      <c r="T64" s="197"/>
      <c r="U64" s="197"/>
      <c r="V64" s="197"/>
      <c r="W64" s="523">
        <f>1/W63</f>
        <v>4.1883831053397831</v>
      </c>
      <c r="X64" s="197"/>
      <c r="Y64" s="197"/>
      <c r="Z64" s="523">
        <f>1/Z63</f>
        <v>5.9915856226291897</v>
      </c>
      <c r="AA64" s="1327"/>
      <c r="AB64" s="1327"/>
      <c r="AC64" s="1327"/>
      <c r="AD64" s="1327"/>
      <c r="AE64" s="1327"/>
      <c r="AF64" s="1327"/>
      <c r="AG64" s="1325"/>
      <c r="AH64" s="1306"/>
      <c r="AI64" s="1306"/>
      <c r="AJ64" s="1306"/>
    </row>
    <row r="65" spans="1:37">
      <c r="A65" s="216"/>
      <c r="B65" s="206"/>
      <c r="C65" s="182"/>
      <c r="D65" s="972" t="s">
        <v>136</v>
      </c>
      <c r="E65" s="140">
        <v>0.25524598219990707</v>
      </c>
      <c r="F65" s="139">
        <v>0.33692344529540552</v>
      </c>
      <c r="G65" s="141">
        <v>0.45901295553838306</v>
      </c>
      <c r="H65" s="139">
        <v>0.52174359742978005</v>
      </c>
      <c r="I65" s="139">
        <v>0.60168482524227784</v>
      </c>
      <c r="J65" s="141">
        <v>0.70704548031173697</v>
      </c>
      <c r="K65" s="139">
        <v>0.73490151829922967</v>
      </c>
      <c r="L65" s="155">
        <v>0.76673911259305505</v>
      </c>
      <c r="M65" s="139">
        <v>0.77747232979641689</v>
      </c>
      <c r="N65" s="139">
        <v>0.78901434033387807</v>
      </c>
      <c r="O65" s="139">
        <v>0.80146014246612851</v>
      </c>
      <c r="P65" s="139">
        <v>0.81492021826652195</v>
      </c>
      <c r="Q65" s="149">
        <v>0.82952382226831622</v>
      </c>
      <c r="R65" s="160"/>
      <c r="T65" s="121"/>
      <c r="U65" s="121"/>
      <c r="V65" s="121"/>
      <c r="W65" s="121"/>
      <c r="X65" s="121"/>
      <c r="Y65" s="121"/>
      <c r="Z65" s="121"/>
      <c r="AA65" s="1327"/>
      <c r="AB65" s="1327"/>
      <c r="AC65" s="1327"/>
      <c r="AD65" s="1327"/>
      <c r="AE65" s="1327"/>
      <c r="AF65" s="1327"/>
      <c r="AG65" s="1325"/>
      <c r="AH65" s="1306"/>
      <c r="AI65" s="1306"/>
      <c r="AJ65" s="1306"/>
    </row>
    <row r="66" spans="1:37">
      <c r="A66" s="216"/>
      <c r="B66" s="205" t="s">
        <v>353</v>
      </c>
      <c r="C66" s="183"/>
      <c r="D66" s="971" t="s">
        <v>151</v>
      </c>
      <c r="E66" s="973" t="s">
        <v>152</v>
      </c>
      <c r="F66" s="974" t="s">
        <v>153</v>
      </c>
      <c r="G66" s="975" t="s">
        <v>154</v>
      </c>
      <c r="H66" s="974" t="s">
        <v>155</v>
      </c>
      <c r="I66" s="974" t="s">
        <v>156</v>
      </c>
      <c r="J66" s="975" t="s">
        <v>157</v>
      </c>
      <c r="K66" s="974" t="s">
        <v>158</v>
      </c>
      <c r="L66" s="976" t="s">
        <v>159</v>
      </c>
      <c r="M66" s="974" t="s">
        <v>160</v>
      </c>
      <c r="N66" s="974" t="s">
        <v>161</v>
      </c>
      <c r="O66" s="974" t="s">
        <v>162</v>
      </c>
      <c r="P66" s="974" t="s">
        <v>163</v>
      </c>
      <c r="Q66" s="977" t="s">
        <v>164</v>
      </c>
      <c r="R66" s="160"/>
      <c r="T66" s="656"/>
      <c r="U66" s="656"/>
      <c r="V66" s="656"/>
      <c r="W66" s="656"/>
      <c r="X66" s="656"/>
      <c r="Y66" s="656"/>
      <c r="Z66" s="656"/>
      <c r="AA66" s="1328"/>
      <c r="AB66" s="1328"/>
      <c r="AC66" s="1328"/>
      <c r="AD66" s="1328"/>
      <c r="AE66" s="1328"/>
      <c r="AF66" s="1328"/>
      <c r="AG66" s="1329"/>
      <c r="AH66" s="1310"/>
      <c r="AI66" s="1306"/>
      <c r="AJ66" s="1306"/>
    </row>
    <row r="67" spans="1:37">
      <c r="A67" s="216"/>
      <c r="B67" s="207"/>
      <c r="C67" s="182"/>
      <c r="D67" s="978"/>
      <c r="E67" s="498">
        <v>1</v>
      </c>
      <c r="F67" s="499">
        <v>2</v>
      </c>
      <c r="G67" s="499">
        <v>3</v>
      </c>
      <c r="H67" s="499">
        <v>4</v>
      </c>
      <c r="I67" s="499">
        <v>5</v>
      </c>
      <c r="J67" s="499">
        <v>6</v>
      </c>
      <c r="K67" s="499">
        <v>7</v>
      </c>
      <c r="L67" s="499">
        <v>8</v>
      </c>
      <c r="M67" s="499">
        <v>9</v>
      </c>
      <c r="N67" s="499">
        <v>10</v>
      </c>
      <c r="O67" s="499">
        <v>11</v>
      </c>
      <c r="P67" s="499">
        <v>12</v>
      </c>
      <c r="Q67" s="500">
        <v>13</v>
      </c>
      <c r="R67" s="160"/>
      <c r="T67" s="656"/>
      <c r="U67" s="656"/>
      <c r="V67" s="656"/>
      <c r="W67" s="656"/>
      <c r="X67" s="656"/>
      <c r="Y67" s="656"/>
      <c r="Z67" s="656"/>
      <c r="AA67" s="1328"/>
      <c r="AB67" s="1328"/>
      <c r="AC67" s="1328"/>
      <c r="AD67" s="1328"/>
      <c r="AE67" s="1328"/>
      <c r="AF67" s="1328"/>
      <c r="AG67" s="1329"/>
      <c r="AH67" s="1310"/>
      <c r="AI67" s="1306"/>
      <c r="AJ67" s="1306"/>
    </row>
    <row r="68" spans="1:37">
      <c r="A68" s="216"/>
      <c r="B68" s="241"/>
      <c r="C68" s="184" t="str">
        <f>'[1]Calculation Rf &amp; Cd'!$AH$1</f>
        <v>A</v>
      </c>
      <c r="D68" s="501">
        <v>1</v>
      </c>
      <c r="E68" s="135">
        <v>2.1337104363824571</v>
      </c>
      <c r="F68" s="136">
        <v>2.3919524745990182</v>
      </c>
      <c r="G68" s="137">
        <v>2.6501945128155793</v>
      </c>
      <c r="H68" s="136">
        <v>2.8934611794822458</v>
      </c>
      <c r="I68" s="136">
        <v>3.1367278461489128</v>
      </c>
      <c r="J68" s="137">
        <v>3.3799945128155793</v>
      </c>
      <c r="K68" s="136">
        <v>3.5365734937072988</v>
      </c>
      <c r="L68" s="502">
        <v>3.6931524745990187</v>
      </c>
      <c r="M68" s="136">
        <v>3.8279892898856436</v>
      </c>
      <c r="N68" s="136">
        <v>3.9628261051722684</v>
      </c>
      <c r="O68" s="136">
        <v>4.0976629204588937</v>
      </c>
      <c r="P68" s="136">
        <v>4.2324997357455185</v>
      </c>
      <c r="Q68" s="147">
        <v>4.3673365510321434</v>
      </c>
      <c r="R68" s="160"/>
      <c r="T68" s="656"/>
      <c r="U68" s="656"/>
      <c r="V68" s="656"/>
      <c r="W68" s="656"/>
      <c r="X68" s="656"/>
      <c r="Y68" s="656"/>
      <c r="Z68" s="656"/>
      <c r="AA68" s="1328"/>
      <c r="AB68" s="1328"/>
      <c r="AC68" s="1328"/>
      <c r="AD68" s="1328"/>
      <c r="AE68" s="1328"/>
      <c r="AF68" s="1328"/>
      <c r="AG68" s="1329"/>
      <c r="AH68" s="1310"/>
      <c r="AI68" s="1306"/>
      <c r="AJ68" s="1306"/>
    </row>
    <row r="69" spans="1:37">
      <c r="A69" s="216"/>
      <c r="B69" s="160"/>
      <c r="C69" s="185" t="s">
        <v>143</v>
      </c>
      <c r="D69" s="501">
        <v>2</v>
      </c>
      <c r="E69" s="138">
        <v>2.3036330478474256</v>
      </c>
      <c r="F69" s="139">
        <v>2.6097370287391453</v>
      </c>
      <c r="G69" s="139">
        <v>2.9158410096308653</v>
      </c>
      <c r="H69" s="139">
        <v>3.1335437697157911</v>
      </c>
      <c r="I69" s="139">
        <v>3.3512465298007168</v>
      </c>
      <c r="J69" s="139">
        <v>3.5689492898856425</v>
      </c>
      <c r="K69" s="139">
        <v>3.7187279523060255</v>
      </c>
      <c r="L69" s="503">
        <v>3.868506614726408</v>
      </c>
      <c r="M69" s="139">
        <v>4.01071272937609</v>
      </c>
      <c r="N69" s="139">
        <v>4.1529188440257716</v>
      </c>
      <c r="O69" s="139">
        <v>4.2951249586754532</v>
      </c>
      <c r="P69" s="139">
        <v>4.4373310733251348</v>
      </c>
      <c r="Q69" s="148">
        <v>4.5795371879748163</v>
      </c>
      <c r="R69" s="160"/>
      <c r="T69" s="656"/>
      <c r="U69" s="656"/>
      <c r="V69" s="656"/>
      <c r="W69" s="656"/>
      <c r="X69" s="656"/>
      <c r="Y69" s="656"/>
      <c r="Z69" s="656"/>
      <c r="AA69" s="1328"/>
      <c r="AB69" s="1328"/>
      <c r="AC69" s="1328"/>
      <c r="AD69" s="1328"/>
      <c r="AE69" s="1328"/>
      <c r="AF69" s="1328"/>
      <c r="AG69" s="1329"/>
      <c r="AH69" s="1310"/>
      <c r="AI69" s="1306"/>
      <c r="AJ69" s="1306"/>
    </row>
    <row r="70" spans="1:37">
      <c r="A70" s="216"/>
      <c r="B70" s="160"/>
      <c r="C70" s="186" t="str">
        <f>'[1]Calculation Rf &amp; Cd'!$AO$1</f>
        <v>BBB+</v>
      </c>
      <c r="D70" s="501">
        <v>3</v>
      </c>
      <c r="E70" s="140">
        <v>2.4735556593123946</v>
      </c>
      <c r="F70" s="139">
        <v>2.8275215828792728</v>
      </c>
      <c r="G70" s="141">
        <v>3.1814875064461514</v>
      </c>
      <c r="H70" s="139">
        <v>3.3736263599493364</v>
      </c>
      <c r="I70" s="139">
        <v>3.5657652134525213</v>
      </c>
      <c r="J70" s="141">
        <v>3.7579040669557062</v>
      </c>
      <c r="K70" s="139">
        <v>3.9008824109047517</v>
      </c>
      <c r="L70" s="504">
        <v>4.0438607548537977</v>
      </c>
      <c r="M70" s="139">
        <v>4.193436168866536</v>
      </c>
      <c r="N70" s="139">
        <v>4.3430115828792744</v>
      </c>
      <c r="O70" s="139">
        <v>4.4925869968920127</v>
      </c>
      <c r="P70" s="139">
        <v>4.642162410904751</v>
      </c>
      <c r="Q70" s="149">
        <v>4.7917378249174893</v>
      </c>
      <c r="R70" s="160"/>
      <c r="T70" s="656"/>
      <c r="U70" s="656"/>
      <c r="V70" s="656"/>
      <c r="W70" s="656"/>
      <c r="X70" s="656"/>
      <c r="Y70" s="656"/>
      <c r="Z70" s="656"/>
      <c r="AA70" s="1328"/>
      <c r="AB70" s="1328"/>
      <c r="AC70" s="1328"/>
      <c r="AD70" s="1328"/>
      <c r="AE70" s="1328"/>
      <c r="AF70" s="1328"/>
      <c r="AG70" s="1329"/>
      <c r="AH70" s="1310"/>
      <c r="AI70" s="1306"/>
      <c r="AJ70" s="1306"/>
    </row>
    <row r="71" spans="1:37">
      <c r="A71" s="216"/>
      <c r="B71" s="160"/>
      <c r="C71" s="186" t="str">
        <f>'[1]Calculation Rf &amp; Cd'!$AV$1</f>
        <v>BBB</v>
      </c>
      <c r="D71" s="501">
        <v>4</v>
      </c>
      <c r="E71" s="140">
        <v>2.7522378249174908</v>
      </c>
      <c r="F71" s="139">
        <v>3.1118492898856434</v>
      </c>
      <c r="G71" s="141">
        <v>3.4714607548537959</v>
      </c>
      <c r="H71" s="139">
        <v>3.6469025807561315</v>
      </c>
      <c r="I71" s="139">
        <v>3.8223444066584666</v>
      </c>
      <c r="J71" s="141">
        <v>3.9977862325608022</v>
      </c>
      <c r="K71" s="139">
        <v>4.1464375064461523</v>
      </c>
      <c r="L71" s="504">
        <v>4.2950887803315023</v>
      </c>
      <c r="M71" s="139" t="s">
        <v>165</v>
      </c>
      <c r="N71" s="139" t="s">
        <v>165</v>
      </c>
      <c r="O71" s="139" t="s">
        <v>165</v>
      </c>
      <c r="P71" s="139" t="s">
        <v>165</v>
      </c>
      <c r="Q71" s="149" t="s">
        <v>165</v>
      </c>
      <c r="R71" s="160"/>
      <c r="T71" s="656"/>
      <c r="U71" s="656"/>
      <c r="V71" s="656"/>
      <c r="W71" s="656"/>
      <c r="X71" s="656"/>
      <c r="Y71" s="656"/>
      <c r="Z71" s="656"/>
      <c r="AA71" s="1328"/>
      <c r="AB71" s="1328"/>
      <c r="AC71" s="1328"/>
      <c r="AD71" s="1328"/>
      <c r="AE71" s="1328"/>
      <c r="AF71" s="1328"/>
      <c r="AG71" s="1329"/>
      <c r="AH71" s="1310"/>
      <c r="AI71" s="1306"/>
      <c r="AJ71" s="1306"/>
    </row>
    <row r="72" spans="1:37">
      <c r="A72" s="216"/>
      <c r="B72" s="160"/>
      <c r="C72" s="186" t="str">
        <f>'[1]Calculation Rf &amp; Cd'!$BC$1</f>
        <v>BBB-</v>
      </c>
      <c r="D72" s="501">
        <v>5</v>
      </c>
      <c r="E72" s="140">
        <v>3.1330741306499759</v>
      </c>
      <c r="F72" s="139">
        <v>3.5635604363824585</v>
      </c>
      <c r="G72" s="141">
        <v>3.994046742114941</v>
      </c>
      <c r="H72" s="139">
        <v>4.2443760414779979</v>
      </c>
      <c r="I72" s="139">
        <v>4.4947053408410547</v>
      </c>
      <c r="J72" s="141">
        <v>4.7450346402041115</v>
      </c>
      <c r="K72" s="139">
        <v>4.8362518376563424</v>
      </c>
      <c r="L72" s="504">
        <v>4.9274690351085733</v>
      </c>
      <c r="M72" s="139" t="s">
        <v>165</v>
      </c>
      <c r="N72" s="139" t="s">
        <v>165</v>
      </c>
      <c r="O72" s="139" t="s">
        <v>165</v>
      </c>
      <c r="P72" s="139" t="s">
        <v>165</v>
      </c>
      <c r="Q72" s="149" t="s">
        <v>165</v>
      </c>
      <c r="R72" s="160"/>
      <c r="T72" s="656"/>
      <c r="U72" s="656"/>
      <c r="V72" s="656"/>
      <c r="W72" s="656"/>
      <c r="X72" s="656"/>
      <c r="Y72" s="656"/>
      <c r="Z72" s="656"/>
      <c r="AA72" s="1328"/>
      <c r="AB72" s="1328"/>
      <c r="AC72" s="1328"/>
      <c r="AD72" s="1328"/>
      <c r="AE72" s="1328"/>
      <c r="AF72" s="1328"/>
      <c r="AG72" s="1329"/>
      <c r="AH72" s="1310"/>
      <c r="AI72" s="1306"/>
      <c r="AJ72" s="1306"/>
    </row>
    <row r="73" spans="1:37">
      <c r="A73" s="216"/>
      <c r="B73" s="160"/>
      <c r="C73" s="979" t="s">
        <v>148</v>
      </c>
      <c r="D73" s="984">
        <v>6</v>
      </c>
      <c r="E73" s="980">
        <v>3.6143766784206774</v>
      </c>
      <c r="F73" s="981">
        <v>4.1658338440257703</v>
      </c>
      <c r="G73" s="981">
        <v>4.7172910096308636</v>
      </c>
      <c r="H73" s="981">
        <v>5.0312487591000785</v>
      </c>
      <c r="I73" s="981">
        <v>5.3452065085692935</v>
      </c>
      <c r="J73" s="981">
        <v>5.6591642580385075</v>
      </c>
      <c r="K73" s="981">
        <v>5.7475246083569802</v>
      </c>
      <c r="L73" s="982">
        <v>5.835884958675452</v>
      </c>
      <c r="M73" s="981" t="s">
        <v>165</v>
      </c>
      <c r="N73" s="981" t="s">
        <v>165</v>
      </c>
      <c r="O73" s="981" t="s">
        <v>165</v>
      </c>
      <c r="P73" s="981" t="s">
        <v>165</v>
      </c>
      <c r="Q73" s="983" t="s">
        <v>165</v>
      </c>
      <c r="R73" s="160"/>
      <c r="T73" s="656"/>
      <c r="U73" s="656"/>
      <c r="V73" s="656"/>
      <c r="W73" s="656"/>
      <c r="X73" s="656"/>
      <c r="Y73" s="656"/>
      <c r="Z73" s="656"/>
      <c r="AA73" s="1328"/>
      <c r="AB73" s="1328"/>
      <c r="AC73" s="1328"/>
      <c r="AD73" s="1328"/>
      <c r="AE73" s="1328"/>
      <c r="AF73" s="1328"/>
      <c r="AG73" s="1329"/>
      <c r="AH73" s="1310"/>
      <c r="AI73" s="1306"/>
      <c r="AJ73" s="1306"/>
    </row>
    <row r="74" spans="1:37">
      <c r="A74" s="216"/>
      <c r="B74" s="160"/>
      <c r="C74" s="186" t="str">
        <f>'[1]Calculation Rf &amp; Cd'!$BJ$1</f>
        <v>BB</v>
      </c>
      <c r="D74" s="501">
        <v>7</v>
      </c>
      <c r="E74" s="140">
        <v>4.095679226191379</v>
      </c>
      <c r="F74" s="139">
        <v>4.7681072516690834</v>
      </c>
      <c r="G74" s="141">
        <v>5.440535277146787</v>
      </c>
      <c r="H74" s="139">
        <v>5.8181214767221592</v>
      </c>
      <c r="I74" s="139">
        <v>6.1957076762975314</v>
      </c>
      <c r="J74" s="141">
        <v>6.5732938758729036</v>
      </c>
      <c r="K74" s="139">
        <v>6.6587973790576171</v>
      </c>
      <c r="L74" s="504">
        <v>6.7443008822423307</v>
      </c>
      <c r="M74" s="139" t="s">
        <v>165</v>
      </c>
      <c r="N74" s="139" t="s">
        <v>165</v>
      </c>
      <c r="O74" s="139" t="s">
        <v>165</v>
      </c>
      <c r="P74" s="139" t="s">
        <v>165</v>
      </c>
      <c r="Q74" s="149" t="s">
        <v>165</v>
      </c>
      <c r="R74" s="160"/>
      <c r="T74" s="656"/>
      <c r="U74" s="656"/>
      <c r="V74" s="656"/>
      <c r="W74" s="656"/>
      <c r="X74" s="656"/>
      <c r="Y74" s="656"/>
      <c r="Z74" s="656"/>
      <c r="AA74" s="1328"/>
      <c r="AB74" s="1328"/>
      <c r="AC74" s="1328"/>
      <c r="AD74" s="1328"/>
      <c r="AE74" s="1328"/>
      <c r="AF74" s="1328"/>
      <c r="AG74" s="1329"/>
      <c r="AH74" s="1310"/>
      <c r="AI74" s="1306"/>
      <c r="AJ74" s="1306"/>
    </row>
    <row r="75" spans="1:37">
      <c r="A75" s="216"/>
      <c r="B75" s="160"/>
      <c r="C75" s="187" t="s">
        <v>149</v>
      </c>
      <c r="D75" s="501">
        <v>8</v>
      </c>
      <c r="E75" s="142">
        <v>4.6732422835162213</v>
      </c>
      <c r="F75" s="139">
        <v>5.4908353408410582</v>
      </c>
      <c r="G75" s="124">
        <v>6.3084283981658951</v>
      </c>
      <c r="H75" s="139">
        <v>6.7623687378686563</v>
      </c>
      <c r="I75" s="139">
        <v>7.2163090775714176</v>
      </c>
      <c r="J75" s="124">
        <v>7.6702494172741789</v>
      </c>
      <c r="K75" s="139">
        <v>6.9625549692911628</v>
      </c>
      <c r="L75" s="505">
        <v>7.8343999905225852</v>
      </c>
      <c r="M75" s="139" t="s">
        <v>165</v>
      </c>
      <c r="N75" s="139" t="s">
        <v>165</v>
      </c>
      <c r="O75" s="139" t="s">
        <v>165</v>
      </c>
      <c r="P75" s="139" t="s">
        <v>165</v>
      </c>
      <c r="Q75" s="149" t="s">
        <v>165</v>
      </c>
      <c r="R75" s="160"/>
      <c r="T75" s="656"/>
      <c r="U75" s="656"/>
      <c r="V75" s="656"/>
      <c r="W75" s="656"/>
      <c r="X75" s="656"/>
      <c r="Y75" s="656"/>
      <c r="Z75" s="656"/>
      <c r="AA75" s="1328"/>
      <c r="AB75" s="1328"/>
      <c r="AC75" s="1328"/>
      <c r="AD75" s="1328"/>
      <c r="AE75" s="1328"/>
      <c r="AF75" s="1328"/>
      <c r="AG75" s="1329"/>
      <c r="AH75" s="1310"/>
      <c r="AI75" s="1306"/>
      <c r="AJ75" s="1306"/>
    </row>
    <row r="76" spans="1:37" ht="14.25">
      <c r="A76" s="216"/>
      <c r="B76" s="160"/>
      <c r="C76" s="187" t="s">
        <v>141</v>
      </c>
      <c r="D76" s="501">
        <v>9</v>
      </c>
      <c r="E76" s="142">
        <v>5.3663179523060318</v>
      </c>
      <c r="F76" s="139">
        <v>6.3581090478474289</v>
      </c>
      <c r="G76" s="124">
        <v>7.3499001433888251</v>
      </c>
      <c r="H76" s="139">
        <v>7.8954654512444531</v>
      </c>
      <c r="I76" s="139">
        <v>8.4410307591000819</v>
      </c>
      <c r="J76" s="124">
        <v>8.9865960669557108</v>
      </c>
      <c r="K76" s="139">
        <v>7.2663125595247084</v>
      </c>
      <c r="L76" s="505">
        <v>9.1425189204588921</v>
      </c>
      <c r="M76" s="139" t="s">
        <v>165</v>
      </c>
      <c r="N76" s="139" t="s">
        <v>165</v>
      </c>
      <c r="O76" s="139" t="s">
        <v>165</v>
      </c>
      <c r="P76" s="139" t="s">
        <v>165</v>
      </c>
      <c r="Q76" s="149" t="s">
        <v>165</v>
      </c>
      <c r="R76" s="160"/>
      <c r="T76" s="656"/>
      <c r="U76" s="656"/>
      <c r="V76" s="656"/>
      <c r="W76" s="658"/>
      <c r="X76" s="656"/>
      <c r="Y76" s="656"/>
      <c r="Z76" s="656"/>
      <c r="AA76" s="1328"/>
      <c r="AB76" s="1328"/>
      <c r="AC76" s="1328"/>
      <c r="AD76" s="1328"/>
      <c r="AE76" s="1328"/>
      <c r="AF76" s="1328"/>
      <c r="AG76" s="1329"/>
      <c r="AH76" s="1310"/>
      <c r="AI76" s="1306"/>
      <c r="AJ76" s="1306"/>
    </row>
    <row r="77" spans="1:37" ht="14.25">
      <c r="A77" s="216"/>
      <c r="B77" s="160"/>
      <c r="C77" s="187" t="s">
        <v>150</v>
      </c>
      <c r="D77" s="501">
        <v>10</v>
      </c>
      <c r="E77" s="142">
        <v>6.0593936210958423</v>
      </c>
      <c r="F77" s="139">
        <v>7.2253827548537988</v>
      </c>
      <c r="G77" s="124">
        <v>8.3913718886117561</v>
      </c>
      <c r="H77" s="139">
        <v>9.0285621646202507</v>
      </c>
      <c r="I77" s="139">
        <v>9.6657524406287472</v>
      </c>
      <c r="J77" s="124">
        <v>10.302942716637242</v>
      </c>
      <c r="K77" s="139">
        <v>10.37679028351622</v>
      </c>
      <c r="L77" s="505">
        <v>10.450637850395198</v>
      </c>
      <c r="M77" s="139" t="s">
        <v>165</v>
      </c>
      <c r="N77" s="139" t="s">
        <v>165</v>
      </c>
      <c r="O77" s="139" t="s">
        <v>165</v>
      </c>
      <c r="P77" s="139" t="s">
        <v>165</v>
      </c>
      <c r="Q77" s="149" t="s">
        <v>165</v>
      </c>
      <c r="R77" s="160"/>
      <c r="T77" s="656"/>
      <c r="U77" s="656"/>
      <c r="V77" s="656"/>
      <c r="W77" s="658"/>
      <c r="X77" s="656"/>
      <c r="Y77" s="656"/>
      <c r="Z77" s="656"/>
      <c r="AA77" s="1328"/>
      <c r="AB77" s="1328"/>
      <c r="AC77" s="1328"/>
      <c r="AD77" s="1328"/>
      <c r="AE77" s="1328"/>
      <c r="AF77" s="1328"/>
      <c r="AG77" s="1329"/>
      <c r="AH77" s="1310"/>
      <c r="AI77" s="1306"/>
      <c r="AJ77" s="1306"/>
    </row>
    <row r="78" spans="1:37" ht="14.25">
      <c r="A78" s="216"/>
      <c r="B78" s="160"/>
      <c r="C78" s="188" t="s">
        <v>166</v>
      </c>
      <c r="D78" s="501">
        <v>11</v>
      </c>
      <c r="E78" s="143">
        <v>6.7524692898856529</v>
      </c>
      <c r="F78" s="144">
        <v>8.0926564618601695</v>
      </c>
      <c r="G78" s="125">
        <v>9.4328436338346862</v>
      </c>
      <c r="H78" s="144">
        <v>10.161658877996048</v>
      </c>
      <c r="I78" s="144">
        <v>10.890474122157411</v>
      </c>
      <c r="J78" s="125">
        <v>11.619289366318773</v>
      </c>
      <c r="K78" s="144">
        <v>11.689023073325139</v>
      </c>
      <c r="L78" s="506">
        <v>11.758756780331504</v>
      </c>
      <c r="M78" s="144" t="s">
        <v>165</v>
      </c>
      <c r="N78" s="144" t="s">
        <v>165</v>
      </c>
      <c r="O78" s="144" t="s">
        <v>165</v>
      </c>
      <c r="P78" s="144" t="s">
        <v>165</v>
      </c>
      <c r="Q78" s="150" t="s">
        <v>165</v>
      </c>
      <c r="R78" s="160"/>
      <c r="S78" s="1168"/>
      <c r="T78" s="656"/>
      <c r="U78" s="656"/>
      <c r="V78" s="656"/>
      <c r="W78" s="658"/>
      <c r="X78" s="656"/>
      <c r="Y78" s="656"/>
      <c r="Z78" s="656"/>
      <c r="AA78" s="1328"/>
      <c r="AB78" s="1328"/>
      <c r="AC78" s="1328"/>
      <c r="AD78" s="1328"/>
      <c r="AE78" s="1328"/>
      <c r="AF78" s="1328"/>
      <c r="AG78" s="1329"/>
      <c r="AH78" s="1310"/>
      <c r="AI78" s="1313"/>
      <c r="AJ78" s="1313"/>
      <c r="AK78" s="1313"/>
    </row>
    <row r="79" spans="1:37" ht="14.25">
      <c r="A79" s="216"/>
      <c r="B79" s="208" t="s">
        <v>145</v>
      </c>
      <c r="C79" s="181"/>
      <c r="D79" s="507">
        <v>0.15</v>
      </c>
      <c r="E79" s="508"/>
      <c r="F79" s="509"/>
      <c r="G79" s="509"/>
      <c r="H79" s="509"/>
      <c r="I79" s="509"/>
      <c r="J79" s="509"/>
      <c r="K79" s="509"/>
      <c r="L79" s="509"/>
      <c r="M79" s="509"/>
      <c r="N79" s="509"/>
      <c r="O79" s="509"/>
      <c r="P79" s="509"/>
      <c r="Q79" s="510"/>
      <c r="R79" s="160"/>
      <c r="S79" s="1168"/>
      <c r="T79" s="656"/>
      <c r="U79" s="656"/>
      <c r="V79" s="656"/>
      <c r="W79" s="658"/>
      <c r="X79" s="656"/>
      <c r="Y79" s="656"/>
      <c r="Z79" s="656"/>
      <c r="AA79" s="1328"/>
      <c r="AB79" s="1328"/>
      <c r="AC79" s="1328"/>
      <c r="AD79" s="1328"/>
      <c r="AE79" s="1328"/>
      <c r="AF79" s="1328"/>
      <c r="AG79" s="1329"/>
      <c r="AH79" s="1310"/>
      <c r="AI79" s="1313"/>
      <c r="AJ79" s="1313"/>
      <c r="AK79" s="1313"/>
    </row>
    <row r="80" spans="1:37" ht="15" thickBot="1">
      <c r="A80" s="216"/>
      <c r="B80" s="208" t="s">
        <v>4</v>
      </c>
      <c r="C80" s="181"/>
      <c r="D80" s="511">
        <v>2.7898562271062275</v>
      </c>
      <c r="E80" s="512"/>
      <c r="F80" s="513"/>
      <c r="G80" s="514"/>
      <c r="H80" s="513"/>
      <c r="I80" s="513"/>
      <c r="J80" s="514"/>
      <c r="K80" s="513"/>
      <c r="L80" s="151"/>
      <c r="M80" s="513"/>
      <c r="N80" s="513"/>
      <c r="O80" s="513"/>
      <c r="P80" s="513"/>
      <c r="Q80" s="515"/>
      <c r="R80" s="160"/>
      <c r="S80" s="1168"/>
      <c r="T80" s="656"/>
      <c r="U80" s="656"/>
      <c r="V80" s="656"/>
      <c r="W80" s="658"/>
      <c r="X80" s="656"/>
      <c r="Y80" s="656"/>
      <c r="Z80" s="656"/>
      <c r="AA80" s="1328"/>
      <c r="AB80" s="1328"/>
      <c r="AC80" s="1328"/>
      <c r="AD80" s="1328"/>
      <c r="AE80" s="1328"/>
      <c r="AF80" s="1328"/>
      <c r="AG80" s="1329"/>
      <c r="AH80" s="1310"/>
      <c r="AI80" s="1313"/>
      <c r="AJ80" s="1313"/>
      <c r="AK80" s="1313"/>
    </row>
    <row r="81" spans="1:37" ht="14.25">
      <c r="A81" s="216"/>
      <c r="B81" s="209"/>
      <c r="C81" s="178"/>
      <c r="D81" s="179"/>
      <c r="E81" s="176"/>
      <c r="F81" s="176"/>
      <c r="G81" s="180"/>
      <c r="H81" s="176"/>
      <c r="I81" s="176"/>
      <c r="J81" s="180"/>
      <c r="K81" s="176"/>
      <c r="L81" s="176"/>
      <c r="M81" s="180"/>
      <c r="N81" s="176"/>
      <c r="O81" s="176"/>
      <c r="P81" s="180"/>
      <c r="Q81" s="176"/>
      <c r="R81" s="176"/>
      <c r="S81" s="1168"/>
      <c r="T81" s="656"/>
      <c r="U81" s="656"/>
      <c r="V81" s="656"/>
      <c r="W81" s="658"/>
      <c r="X81" s="656"/>
      <c r="Y81" s="656"/>
      <c r="Z81" s="656"/>
      <c r="AA81" s="1328"/>
      <c r="AB81" s="1328"/>
      <c r="AC81" s="1328"/>
      <c r="AD81" s="1328"/>
      <c r="AE81" s="1328"/>
      <c r="AF81" s="1328"/>
      <c r="AG81" s="1329"/>
      <c r="AH81" s="1310"/>
      <c r="AI81" s="1313"/>
      <c r="AJ81" s="1313"/>
      <c r="AK81" s="1313"/>
    </row>
    <row r="82" spans="1:37">
      <c r="A82" s="216"/>
      <c r="B82" s="662"/>
      <c r="C82" s="662"/>
      <c r="D82" s="89"/>
      <c r="E82" s="90"/>
      <c r="F82" s="90"/>
      <c r="G82" s="155"/>
      <c r="H82" s="90"/>
      <c r="I82" s="90"/>
      <c r="J82" s="155"/>
      <c r="K82" s="90"/>
      <c r="L82" s="90"/>
      <c r="M82" s="155"/>
      <c r="N82" s="90"/>
      <c r="O82" s="90"/>
      <c r="P82" s="155"/>
      <c r="Q82" s="90"/>
      <c r="R82" s="90"/>
      <c r="S82" s="1168"/>
      <c r="T82" s="121"/>
      <c r="U82" s="47"/>
      <c r="V82" s="47"/>
      <c r="W82" s="69"/>
      <c r="X82" s="69"/>
      <c r="Y82" s="47"/>
      <c r="Z82" s="47"/>
      <c r="AA82" s="1326"/>
      <c r="AB82" s="1326"/>
      <c r="AC82" s="1326"/>
      <c r="AD82" s="1326"/>
      <c r="AE82" s="1326"/>
      <c r="AF82" s="1326"/>
      <c r="AG82" s="1330"/>
      <c r="AH82" s="1313"/>
      <c r="AI82" s="1313"/>
      <c r="AJ82" s="1313"/>
      <c r="AK82" s="1313"/>
    </row>
    <row r="83" spans="1:37" ht="13.5" thickBot="1">
      <c r="A83" s="216"/>
      <c r="B83" s="229" t="s">
        <v>180</v>
      </c>
      <c r="C83" s="178"/>
      <c r="D83" s="177" t="s">
        <v>183</v>
      </c>
      <c r="E83" s="209" t="s">
        <v>135</v>
      </c>
      <c r="F83" s="230" t="s">
        <v>136</v>
      </c>
      <c r="G83" s="177" t="s">
        <v>137</v>
      </c>
      <c r="H83" s="209" t="s">
        <v>135</v>
      </c>
      <c r="I83" s="230" t="s">
        <v>136</v>
      </c>
      <c r="J83" s="177" t="s">
        <v>168</v>
      </c>
      <c r="K83" s="209" t="s">
        <v>135</v>
      </c>
      <c r="L83" s="230" t="s">
        <v>136</v>
      </c>
      <c r="M83" s="177" t="s">
        <v>2</v>
      </c>
      <c r="N83" s="209" t="s">
        <v>135</v>
      </c>
      <c r="O83" s="230" t="s">
        <v>136</v>
      </c>
      <c r="P83" s="177" t="s">
        <v>76</v>
      </c>
      <c r="Q83" s="209" t="s">
        <v>135</v>
      </c>
      <c r="R83" s="230" t="s">
        <v>136</v>
      </c>
      <c r="T83" s="47"/>
      <c r="U83" s="47"/>
      <c r="V83" s="47"/>
      <c r="W83" s="69"/>
      <c r="X83" s="69"/>
      <c r="Y83" s="47"/>
      <c r="Z83" s="47"/>
      <c r="AA83" s="1326"/>
      <c r="AB83" s="1326"/>
      <c r="AC83" s="1326"/>
      <c r="AD83" s="1326"/>
      <c r="AE83" s="1326"/>
      <c r="AF83" s="1326"/>
      <c r="AG83" s="1325"/>
      <c r="AH83" s="1306"/>
      <c r="AI83" s="1306"/>
      <c r="AJ83" s="1306"/>
    </row>
    <row r="84" spans="1:37">
      <c r="A84" s="216"/>
      <c r="B84" s="210" t="s">
        <v>184</v>
      </c>
      <c r="C84" s="190" t="s">
        <v>185</v>
      </c>
      <c r="D84" s="174">
        <v>0.4</v>
      </c>
      <c r="E84" s="643">
        <v>0.2</v>
      </c>
      <c r="F84" s="644">
        <v>0.5</v>
      </c>
      <c r="G84" s="175">
        <v>0.44444444444444442</v>
      </c>
      <c r="H84" s="643">
        <v>0.3888888888888889</v>
      </c>
      <c r="I84" s="644">
        <v>0.5</v>
      </c>
      <c r="J84" s="906">
        <v>0.4729330941660323</v>
      </c>
      <c r="K84" s="643">
        <v>0.42293309416603231</v>
      </c>
      <c r="L84" s="643">
        <v>0.52293309416603229</v>
      </c>
      <c r="M84" s="175">
        <v>0.28041293785321875</v>
      </c>
      <c r="N84" s="643">
        <v>0.2</v>
      </c>
      <c r="O84" s="644">
        <v>0.4561905930983241</v>
      </c>
      <c r="P84" s="906">
        <v>0.27500000000000002</v>
      </c>
      <c r="Q84" s="643">
        <v>0.25</v>
      </c>
      <c r="R84" s="649">
        <v>0.3</v>
      </c>
      <c r="T84" s="47"/>
      <c r="U84" s="47"/>
      <c r="V84" s="47"/>
      <c r="W84" s="69"/>
      <c r="X84" s="69"/>
      <c r="Y84" s="47"/>
      <c r="Z84" s="47"/>
      <c r="AA84" s="1326"/>
      <c r="AB84" s="1326"/>
      <c r="AC84" s="1326"/>
      <c r="AD84" s="1326"/>
      <c r="AE84" s="1326"/>
      <c r="AF84" s="1326"/>
      <c r="AG84" s="1325"/>
      <c r="AH84" s="1306"/>
      <c r="AI84" s="1306"/>
      <c r="AJ84" s="1306"/>
    </row>
    <row r="85" spans="1:37">
      <c r="A85" s="216"/>
      <c r="B85" s="211" t="s">
        <v>172</v>
      </c>
      <c r="C85" s="526" t="s">
        <v>185</v>
      </c>
      <c r="D85" s="529">
        <v>0.374</v>
      </c>
      <c r="E85" s="645">
        <v>0.17</v>
      </c>
      <c r="F85" s="646">
        <v>0.47400000000000003</v>
      </c>
      <c r="G85" s="530">
        <v>0.44444444444444442</v>
      </c>
      <c r="H85" s="645">
        <v>0.3888888888888889</v>
      </c>
      <c r="I85" s="646">
        <v>0.5</v>
      </c>
      <c r="J85" s="907">
        <v>0.48681573444260695</v>
      </c>
      <c r="K85" s="645">
        <v>0.43681573444260696</v>
      </c>
      <c r="L85" s="645">
        <v>0.536815734442607</v>
      </c>
      <c r="M85" s="530">
        <v>0.1914853784153166</v>
      </c>
      <c r="N85" s="645">
        <v>0.1</v>
      </c>
      <c r="O85" s="646">
        <v>0.33</v>
      </c>
      <c r="P85" s="907">
        <v>0.18333333333333335</v>
      </c>
      <c r="Q85" s="645">
        <v>0.16666666666666666</v>
      </c>
      <c r="R85" s="650">
        <v>0.2</v>
      </c>
      <c r="T85" s="47"/>
      <c r="U85" s="47"/>
      <c r="V85" s="47"/>
      <c r="W85" s="69"/>
      <c r="X85" s="69"/>
      <c r="Y85" s="47"/>
      <c r="Z85" s="47"/>
      <c r="AA85" s="1326"/>
      <c r="AB85" s="1326"/>
      <c r="AC85" s="1326"/>
      <c r="AD85" s="1326"/>
      <c r="AE85" s="1326"/>
      <c r="AF85" s="1326"/>
      <c r="AG85" s="1325"/>
      <c r="AH85" s="1306"/>
      <c r="AI85" s="1306"/>
      <c r="AJ85" s="1306"/>
    </row>
    <row r="86" spans="1:37">
      <c r="A86" s="216"/>
      <c r="B86" s="210" t="s">
        <v>187</v>
      </c>
      <c r="C86" s="190" t="s">
        <v>185</v>
      </c>
      <c r="D86" s="525" t="s">
        <v>143</v>
      </c>
      <c r="E86" s="647" t="s">
        <v>139</v>
      </c>
      <c r="F86" s="648" t="s">
        <v>142</v>
      </c>
      <c r="G86" s="162" t="s">
        <v>141</v>
      </c>
      <c r="H86" s="647" t="s">
        <v>149</v>
      </c>
      <c r="I86" s="648" t="s">
        <v>141</v>
      </c>
      <c r="J86" s="524" t="s">
        <v>140</v>
      </c>
      <c r="K86" s="647" t="s">
        <v>142</v>
      </c>
      <c r="L86" s="647" t="s">
        <v>171</v>
      </c>
      <c r="M86" s="162" t="s">
        <v>140</v>
      </c>
      <c r="N86" s="647" t="s">
        <v>142</v>
      </c>
      <c r="O86" s="648" t="s">
        <v>171</v>
      </c>
      <c r="P86" s="524" t="s">
        <v>140</v>
      </c>
      <c r="Q86" s="647" t="s">
        <v>142</v>
      </c>
      <c r="R86" s="651" t="s">
        <v>171</v>
      </c>
      <c r="T86" s="47"/>
      <c r="U86" s="47"/>
      <c r="V86" s="47"/>
      <c r="W86" s="69"/>
      <c r="X86" s="69"/>
      <c r="Y86" s="47"/>
      <c r="Z86" s="47"/>
      <c r="AA86" s="1326"/>
      <c r="AB86" s="1326"/>
      <c r="AC86" s="1326"/>
      <c r="AD86" s="1326"/>
      <c r="AE86" s="1326"/>
      <c r="AF86" s="1326"/>
      <c r="AG86" s="1325"/>
      <c r="AH86" s="1306"/>
      <c r="AI86" s="1306"/>
      <c r="AJ86" s="1306"/>
    </row>
    <row r="87" spans="1:37">
      <c r="A87" s="216"/>
      <c r="B87" s="211"/>
      <c r="C87" s="526" t="s">
        <v>185</v>
      </c>
      <c r="D87" s="527" t="s">
        <v>143</v>
      </c>
      <c r="E87" s="647" t="s">
        <v>139</v>
      </c>
      <c r="F87" s="648" t="s">
        <v>142</v>
      </c>
      <c r="G87" s="528" t="s">
        <v>141</v>
      </c>
      <c r="H87" s="647" t="s">
        <v>149</v>
      </c>
      <c r="I87" s="648" t="s">
        <v>141</v>
      </c>
      <c r="J87" s="528" t="s">
        <v>140</v>
      </c>
      <c r="K87" s="647" t="s">
        <v>142</v>
      </c>
      <c r="L87" s="647" t="s">
        <v>171</v>
      </c>
      <c r="M87" s="528" t="s">
        <v>140</v>
      </c>
      <c r="N87" s="647" t="s">
        <v>142</v>
      </c>
      <c r="O87" s="648" t="s">
        <v>171</v>
      </c>
      <c r="P87" s="528" t="s">
        <v>140</v>
      </c>
      <c r="Q87" s="647" t="s">
        <v>142</v>
      </c>
      <c r="R87" s="652" t="s">
        <v>171</v>
      </c>
      <c r="T87" s="47"/>
      <c r="U87" s="47"/>
      <c r="V87" s="47"/>
      <c r="W87" s="69"/>
      <c r="X87" s="69"/>
      <c r="Y87" s="47"/>
      <c r="Z87" s="47"/>
      <c r="AA87" s="1326"/>
      <c r="AB87" s="1326"/>
      <c r="AC87" s="1326"/>
      <c r="AD87" s="1326"/>
      <c r="AE87" s="1326"/>
      <c r="AF87" s="1326"/>
      <c r="AG87" s="1325"/>
      <c r="AH87" s="1306"/>
      <c r="AI87" s="1306"/>
      <c r="AJ87" s="1306"/>
    </row>
    <row r="88" spans="1:37" ht="13.5" thickBot="1">
      <c r="A88" s="216"/>
      <c r="B88" s="212" t="s">
        <v>189</v>
      </c>
      <c r="C88" s="191"/>
      <c r="D88" s="1278">
        <v>0.55555555555555558</v>
      </c>
      <c r="E88" s="1279">
        <v>0.2857142857142857</v>
      </c>
      <c r="F88" s="1280">
        <v>0.66666666666666663</v>
      </c>
      <c r="G88" s="1281">
        <v>0.69618557805635917</v>
      </c>
      <c r="H88" s="1279">
        <v>0.33907333425173347</v>
      </c>
      <c r="I88" s="1280">
        <v>0.83831565413050457</v>
      </c>
      <c r="J88" s="1282">
        <v>0.81672559734276229</v>
      </c>
      <c r="K88" s="1279">
        <v>0.38480966156954588</v>
      </c>
      <c r="L88" s="1279">
        <v>0.98544335767093716</v>
      </c>
      <c r="M88" s="1281">
        <v>0.14705882352941177</v>
      </c>
      <c r="N88" s="1279">
        <v>0.13071895424836602</v>
      </c>
      <c r="O88" s="1280">
        <v>0.16806722689075629</v>
      </c>
      <c r="P88" s="1282">
        <v>0.14705882352941177</v>
      </c>
      <c r="Q88" s="1279">
        <v>0.13071895424836602</v>
      </c>
      <c r="R88" s="1283">
        <v>0.16806722689075629</v>
      </c>
      <c r="T88" s="47"/>
      <c r="U88" s="47"/>
      <c r="V88" s="47"/>
      <c r="W88" s="69"/>
      <c r="X88" s="69"/>
      <c r="Y88" s="47"/>
      <c r="Z88" s="47"/>
      <c r="AA88" s="1326"/>
      <c r="AB88" s="1326"/>
      <c r="AC88" s="1326"/>
      <c r="AD88" s="1326"/>
      <c r="AE88" s="1326"/>
      <c r="AF88" s="1326"/>
      <c r="AG88" s="1325"/>
      <c r="AH88" s="1306"/>
      <c r="AI88" s="1306"/>
      <c r="AJ88" s="1306"/>
    </row>
    <row r="89" spans="1:37">
      <c r="A89" s="216"/>
      <c r="B89" s="178"/>
      <c r="C89" s="178"/>
      <c r="D89" s="178"/>
      <c r="E89" s="161"/>
      <c r="F89" s="161"/>
      <c r="G89" s="178"/>
      <c r="H89" s="161"/>
      <c r="I89" s="161"/>
      <c r="J89" s="178"/>
      <c r="K89" s="161"/>
      <c r="L89" s="161"/>
      <c r="M89" s="178"/>
      <c r="N89" s="161"/>
      <c r="O89" s="161"/>
      <c r="P89" s="178"/>
      <c r="Q89" s="161"/>
      <c r="R89" s="161"/>
      <c r="T89" s="47"/>
      <c r="U89" s="47"/>
      <c r="V89" s="47"/>
      <c r="W89" s="69"/>
      <c r="X89" s="69"/>
      <c r="Y89" s="47"/>
      <c r="Z89" s="47"/>
      <c r="AA89" s="1326"/>
      <c r="AB89" s="1326"/>
      <c r="AC89" s="1326"/>
      <c r="AD89" s="1326"/>
      <c r="AE89" s="1326"/>
      <c r="AF89" s="1326"/>
      <c r="AG89" s="1325"/>
      <c r="AH89" s="1306"/>
      <c r="AI89" s="1306"/>
      <c r="AJ89" s="1306"/>
    </row>
    <row r="90" spans="1:37">
      <c r="A90" s="216"/>
      <c r="B90" s="662"/>
      <c r="C90" s="662"/>
      <c r="D90" s="662"/>
      <c r="E90" s="67"/>
      <c r="F90" s="67"/>
      <c r="G90" s="662"/>
      <c r="H90" s="67"/>
      <c r="I90" s="67"/>
      <c r="J90" s="662"/>
      <c r="K90" s="67"/>
      <c r="L90" s="67"/>
      <c r="M90" s="662"/>
      <c r="N90" s="67"/>
      <c r="O90" s="67"/>
      <c r="P90" s="662"/>
      <c r="Q90" s="67"/>
      <c r="R90" s="67"/>
      <c r="T90" s="47"/>
      <c r="U90" s="47"/>
      <c r="V90" s="47"/>
      <c r="W90" s="69"/>
      <c r="X90" s="69"/>
      <c r="Y90" s="47"/>
      <c r="Z90" s="47"/>
      <c r="AA90" s="1326"/>
      <c r="AB90" s="1326"/>
      <c r="AC90" s="1326"/>
      <c r="AD90" s="1326"/>
      <c r="AE90" s="1326"/>
      <c r="AF90" s="1326"/>
      <c r="AG90" s="1325"/>
      <c r="AH90" s="1306"/>
      <c r="AI90" s="1306"/>
      <c r="AJ90" s="1306"/>
    </row>
    <row r="91" spans="1:37" ht="13.5" thickBot="1">
      <c r="A91" s="216"/>
      <c r="B91" s="229" t="s">
        <v>182</v>
      </c>
      <c r="C91" s="192"/>
      <c r="D91" s="177" t="s">
        <v>183</v>
      </c>
      <c r="E91" s="209" t="s">
        <v>135</v>
      </c>
      <c r="F91" s="230" t="s">
        <v>136</v>
      </c>
      <c r="G91" s="177" t="s">
        <v>137</v>
      </c>
      <c r="H91" s="209" t="s">
        <v>135</v>
      </c>
      <c r="I91" s="230" t="s">
        <v>136</v>
      </c>
      <c r="J91" s="177" t="s">
        <v>168</v>
      </c>
      <c r="K91" s="209" t="s">
        <v>135</v>
      </c>
      <c r="L91" s="230" t="s">
        <v>136</v>
      </c>
      <c r="M91" s="177" t="s">
        <v>2</v>
      </c>
      <c r="N91" s="209" t="s">
        <v>135</v>
      </c>
      <c r="O91" s="230" t="s">
        <v>136</v>
      </c>
      <c r="P91" s="177" t="s">
        <v>76</v>
      </c>
      <c r="Q91" s="209" t="s">
        <v>135</v>
      </c>
      <c r="R91" s="230" t="s">
        <v>136</v>
      </c>
      <c r="T91" s="47"/>
      <c r="U91" s="47"/>
      <c r="V91" s="47"/>
      <c r="W91" s="69"/>
      <c r="X91" s="69"/>
      <c r="Y91" s="47"/>
      <c r="Z91" s="47"/>
      <c r="AA91" s="1326"/>
      <c r="AB91" s="1326"/>
      <c r="AC91" s="1326"/>
      <c r="AD91" s="1326"/>
      <c r="AE91" s="1326"/>
      <c r="AF91" s="1326"/>
      <c r="AG91" s="1325"/>
      <c r="AH91" s="1306"/>
      <c r="AI91" s="1306"/>
      <c r="AJ91" s="1306"/>
    </row>
    <row r="92" spans="1:37">
      <c r="A92" s="216"/>
      <c r="B92" s="210" t="s">
        <v>186</v>
      </c>
      <c r="C92" s="177" t="s">
        <v>185</v>
      </c>
      <c r="D92" s="168">
        <v>0.5</v>
      </c>
      <c r="E92" s="169">
        <v>0.47499999999999998</v>
      </c>
      <c r="F92" s="170">
        <v>0.52500000000000002</v>
      </c>
      <c r="G92" s="171">
        <v>0.6</v>
      </c>
      <c r="H92" s="169">
        <v>0.57499999999999996</v>
      </c>
      <c r="I92" s="170">
        <v>0.625</v>
      </c>
      <c r="J92" s="254">
        <v>0.6</v>
      </c>
      <c r="K92" s="169">
        <v>0.57499999999999996</v>
      </c>
      <c r="L92" s="170">
        <v>0.625</v>
      </c>
      <c r="M92" s="171">
        <v>0.6</v>
      </c>
      <c r="N92" s="169">
        <v>0.57499999999999996</v>
      </c>
      <c r="O92" s="170">
        <v>0.625</v>
      </c>
      <c r="P92" s="254">
        <v>0.6</v>
      </c>
      <c r="Q92" s="169">
        <v>0.57499999999999996</v>
      </c>
      <c r="R92" s="653">
        <v>0.625</v>
      </c>
      <c r="T92" s="47"/>
      <c r="U92" s="47"/>
      <c r="V92" s="47"/>
      <c r="W92" s="69"/>
      <c r="X92" s="69"/>
      <c r="Y92" s="47"/>
      <c r="Z92" s="47"/>
      <c r="AA92" s="1326"/>
      <c r="AB92" s="1326"/>
      <c r="AC92" s="1326"/>
      <c r="AD92" s="1326"/>
      <c r="AE92" s="1326"/>
      <c r="AF92" s="1326"/>
      <c r="AG92" s="1325"/>
      <c r="AH92" s="1306"/>
      <c r="AI92" s="1306"/>
      <c r="AJ92" s="1306"/>
    </row>
    <row r="93" spans="1:37">
      <c r="A93" s="216"/>
      <c r="B93" s="213"/>
      <c r="C93" s="193" t="s">
        <v>185</v>
      </c>
      <c r="D93" s="875">
        <v>0.52500000000000002</v>
      </c>
      <c r="E93" s="877">
        <v>0.5</v>
      </c>
      <c r="F93" s="878">
        <v>0.55000000000000004</v>
      </c>
      <c r="G93" s="89">
        <v>0.6</v>
      </c>
      <c r="H93" s="877">
        <v>0.57499999999999996</v>
      </c>
      <c r="I93" s="878">
        <v>0.625</v>
      </c>
      <c r="J93" s="89">
        <v>0.6</v>
      </c>
      <c r="K93" s="877">
        <v>0.57499999999999996</v>
      </c>
      <c r="L93" s="878">
        <v>0.625</v>
      </c>
      <c r="M93" s="876">
        <v>0.625</v>
      </c>
      <c r="N93" s="877">
        <v>0.6</v>
      </c>
      <c r="O93" s="878">
        <v>0.65</v>
      </c>
      <c r="P93" s="876">
        <v>0.625</v>
      </c>
      <c r="Q93" s="877">
        <v>0.6</v>
      </c>
      <c r="R93" s="879">
        <v>0.65</v>
      </c>
      <c r="T93" s="47"/>
      <c r="U93" s="47"/>
      <c r="V93" s="47"/>
      <c r="W93" s="69"/>
      <c r="X93" s="69"/>
      <c r="Y93" s="47"/>
      <c r="Z93" s="47"/>
      <c r="AA93" s="1326"/>
      <c r="AB93" s="1326"/>
      <c r="AC93" s="1326"/>
      <c r="AD93" s="1326"/>
      <c r="AE93" s="1326"/>
      <c r="AF93" s="1326"/>
      <c r="AG93" s="1325"/>
      <c r="AH93" s="1306"/>
      <c r="AI93" s="1306"/>
      <c r="AJ93" s="1306"/>
    </row>
    <row r="94" spans="1:37" ht="13.5" thickBot="1">
      <c r="A94" s="216"/>
      <c r="B94" s="212" t="s">
        <v>179</v>
      </c>
      <c r="C94" s="194"/>
      <c r="D94" s="172">
        <v>0.8</v>
      </c>
      <c r="E94" s="236">
        <v>0.70000000000000007</v>
      </c>
      <c r="F94" s="237">
        <v>0.9</v>
      </c>
      <c r="G94" s="173">
        <v>0.8</v>
      </c>
      <c r="H94" s="236">
        <v>0.70000000000000007</v>
      </c>
      <c r="I94" s="237">
        <v>0.9</v>
      </c>
      <c r="J94" s="238">
        <v>0.8</v>
      </c>
      <c r="K94" s="642">
        <v>0.70000000000000007</v>
      </c>
      <c r="L94" s="642">
        <v>0.9</v>
      </c>
      <c r="M94" s="173">
        <v>0.8</v>
      </c>
      <c r="N94" s="236">
        <v>0.70000000000000007</v>
      </c>
      <c r="O94" s="237">
        <v>0.9</v>
      </c>
      <c r="P94" s="238">
        <v>0.8</v>
      </c>
      <c r="Q94" s="654">
        <v>0.70000000000000007</v>
      </c>
      <c r="R94" s="655">
        <v>0.9</v>
      </c>
      <c r="T94" s="47"/>
      <c r="U94" s="47"/>
      <c r="V94" s="47"/>
      <c r="W94" s="69"/>
      <c r="X94" s="69"/>
      <c r="Y94" s="47"/>
      <c r="Z94" s="47"/>
      <c r="AA94" s="1326"/>
      <c r="AB94" s="1326"/>
      <c r="AC94" s="1326"/>
      <c r="AD94" s="1326"/>
      <c r="AE94" s="1326"/>
      <c r="AF94" s="1326"/>
      <c r="AG94" s="1325"/>
      <c r="AH94" s="1306"/>
      <c r="AI94" s="1306"/>
      <c r="AJ94" s="1306"/>
    </row>
    <row r="95" spans="1:37">
      <c r="A95" s="216"/>
      <c r="B95" s="192"/>
      <c r="C95" s="192"/>
      <c r="D95" s="189"/>
      <c r="E95" s="161"/>
      <c r="F95" s="161"/>
      <c r="G95" s="178"/>
      <c r="H95" s="161"/>
      <c r="I95" s="161"/>
      <c r="J95" s="178"/>
      <c r="K95" s="161"/>
      <c r="L95" s="161"/>
      <c r="M95" s="178"/>
      <c r="N95" s="161"/>
      <c r="O95" s="161"/>
      <c r="P95" s="178"/>
      <c r="Q95" s="161"/>
      <c r="R95" s="161"/>
      <c r="T95" s="47"/>
      <c r="U95" s="47"/>
      <c r="V95" s="47"/>
      <c r="W95" s="69"/>
      <c r="X95" s="69"/>
      <c r="Y95" s="47"/>
      <c r="Z95" s="47"/>
      <c r="AA95" s="1326"/>
      <c r="AB95" s="1326"/>
      <c r="AC95" s="1326"/>
      <c r="AD95" s="1326"/>
      <c r="AE95" s="1326"/>
      <c r="AF95" s="1326"/>
      <c r="AG95" s="1325"/>
      <c r="AH95" s="1306"/>
      <c r="AI95" s="1306"/>
      <c r="AJ95" s="1306"/>
    </row>
    <row r="96" spans="1:37">
      <c r="A96" s="215"/>
      <c r="B96" s="162" t="s">
        <v>147</v>
      </c>
      <c r="C96" s="162" t="s">
        <v>185</v>
      </c>
      <c r="D96" s="227">
        <f>D92*(1+(1-D$7)*D$12)</f>
        <v>0.7200333333333333</v>
      </c>
      <c r="E96" s="157">
        <f t="shared" ref="E96:R97" si="23">E92*(1+(1-E$7)*E$12)</f>
        <v>0.55338687499999994</v>
      </c>
      <c r="F96" s="158">
        <f t="shared" si="23"/>
        <v>0.87155249999999995</v>
      </c>
      <c r="G96" s="227">
        <f t="shared" si="23"/>
        <v>0.916848</v>
      </c>
      <c r="H96" s="157">
        <f t="shared" si="23"/>
        <v>0.81653659090909081</v>
      </c>
      <c r="I96" s="158">
        <f t="shared" si="23"/>
        <v>1.0375624999999999</v>
      </c>
      <c r="J96" s="227">
        <f t="shared" si="23"/>
        <v>0.9553816018462058</v>
      </c>
      <c r="K96" s="157">
        <f t="shared" si="23"/>
        <v>0.85317819089266977</v>
      </c>
      <c r="L96" s="158">
        <f t="shared" si="23"/>
        <v>1.077227102789138</v>
      </c>
      <c r="M96" s="227">
        <f t="shared" si="23"/>
        <v>0.75433900080806593</v>
      </c>
      <c r="N96" s="157">
        <f t="shared" si="23"/>
        <v>0.6698893749999999</v>
      </c>
      <c r="O96" s="158">
        <f t="shared" si="23"/>
        <v>0.97109024628210672</v>
      </c>
      <c r="P96" s="227">
        <f t="shared" si="23"/>
        <v>0.7502296551724138</v>
      </c>
      <c r="Q96" s="157">
        <f t="shared" si="23"/>
        <v>0.70151916666666658</v>
      </c>
      <c r="R96" s="158">
        <f t="shared" si="23"/>
        <v>0.80181250000000004</v>
      </c>
      <c r="S96" s="1159"/>
      <c r="T96" s="51"/>
      <c r="U96" s="52"/>
      <c r="V96" s="52"/>
      <c r="W96" s="52"/>
      <c r="X96" s="52"/>
      <c r="Y96" s="52"/>
      <c r="Z96" s="52"/>
      <c r="AA96" s="1331"/>
      <c r="AB96" s="1331"/>
      <c r="AC96" s="1331"/>
      <c r="AD96" s="1331"/>
      <c r="AE96" s="1331"/>
      <c r="AF96" s="1331"/>
      <c r="AG96" s="1331"/>
      <c r="AH96" s="1320"/>
      <c r="AI96" s="1320"/>
      <c r="AJ96" s="1320"/>
      <c r="AK96" s="1320"/>
    </row>
    <row r="97" spans="1:37" ht="13.15" customHeight="1">
      <c r="A97" s="215"/>
      <c r="B97" s="165"/>
      <c r="C97" s="167" t="s">
        <v>185</v>
      </c>
      <c r="D97" s="228">
        <f>D93*(1+(1-D$7)*D$12)</f>
        <v>0.75603500000000001</v>
      </c>
      <c r="E97" s="163">
        <f t="shared" si="23"/>
        <v>0.58251249999999999</v>
      </c>
      <c r="F97" s="164">
        <f t="shared" si="23"/>
        <v>0.91305500000000006</v>
      </c>
      <c r="G97" s="228">
        <f t="shared" si="23"/>
        <v>0.916848</v>
      </c>
      <c r="H97" s="163">
        <f t="shared" si="23"/>
        <v>0.81653659090909081</v>
      </c>
      <c r="I97" s="164">
        <f t="shared" si="23"/>
        <v>1.0375624999999999</v>
      </c>
      <c r="J97" s="228">
        <f t="shared" si="23"/>
        <v>0.9553816018462058</v>
      </c>
      <c r="K97" s="163">
        <f t="shared" si="23"/>
        <v>0.85317819089266977</v>
      </c>
      <c r="L97" s="164">
        <f t="shared" si="23"/>
        <v>1.077227102789138</v>
      </c>
      <c r="M97" s="228">
        <f t="shared" si="23"/>
        <v>0.78576979250840195</v>
      </c>
      <c r="N97" s="163">
        <f t="shared" si="23"/>
        <v>0.69901499999999994</v>
      </c>
      <c r="O97" s="164">
        <f t="shared" si="23"/>
        <v>1.009933856133391</v>
      </c>
      <c r="P97" s="228">
        <f t="shared" si="23"/>
        <v>0.78148922413793109</v>
      </c>
      <c r="Q97" s="163">
        <f t="shared" si="23"/>
        <v>0.73202</v>
      </c>
      <c r="R97" s="164">
        <f t="shared" si="23"/>
        <v>0.8338850000000001</v>
      </c>
      <c r="S97" s="1159"/>
      <c r="T97" s="51"/>
      <c r="U97" s="52"/>
      <c r="V97" s="52"/>
      <c r="W97" s="52"/>
      <c r="X97" s="52"/>
      <c r="Y97" s="52"/>
      <c r="Z97" s="52"/>
      <c r="AA97" s="1331"/>
      <c r="AB97" s="1331"/>
      <c r="AC97" s="1331"/>
      <c r="AD97" s="1331"/>
      <c r="AE97" s="1331"/>
      <c r="AF97" s="1331"/>
      <c r="AG97" s="1331"/>
      <c r="AH97" s="1321"/>
      <c r="AI97" s="1321"/>
      <c r="AJ97" s="1321"/>
      <c r="AK97" s="1321"/>
    </row>
    <row r="98" spans="1:37" ht="13.15" customHeight="1">
      <c r="A98" s="216"/>
      <c r="B98" s="162" t="s">
        <v>356</v>
      </c>
      <c r="C98" s="162" t="s">
        <v>185</v>
      </c>
      <c r="D98" s="227">
        <f t="shared" ref="D98:R98" si="24">D96/(1+D12)</f>
        <v>0.43201999999999996</v>
      </c>
      <c r="E98" s="157">
        <f t="shared" si="24"/>
        <v>0.44270949999999998</v>
      </c>
      <c r="F98" s="158">
        <f t="shared" si="24"/>
        <v>0.43577624999999998</v>
      </c>
      <c r="G98" s="227">
        <f t="shared" si="24"/>
        <v>0.50936000000000003</v>
      </c>
      <c r="H98" s="157">
        <f t="shared" si="24"/>
        <v>0.4989945833333333</v>
      </c>
      <c r="I98" s="158">
        <f t="shared" si="24"/>
        <v>0.51878124999999997</v>
      </c>
      <c r="J98" s="227">
        <f t="shared" si="24"/>
        <v>0.50355002477577937</v>
      </c>
      <c r="K98" s="157">
        <f t="shared" si="24"/>
        <v>0.49234089874345516</v>
      </c>
      <c r="L98" s="158">
        <f t="shared" si="24"/>
        <v>0.51390940080810366</v>
      </c>
      <c r="M98" s="227">
        <f t="shared" si="24"/>
        <v>0.54281258545421462</v>
      </c>
      <c r="N98" s="157">
        <f t="shared" si="24"/>
        <v>0.53591149999999987</v>
      </c>
      <c r="O98" s="158">
        <f t="shared" si="24"/>
        <v>0.52808801087867485</v>
      </c>
      <c r="P98" s="227">
        <f t="shared" si="24"/>
        <v>0.54391649999999991</v>
      </c>
      <c r="Q98" s="157">
        <f t="shared" si="24"/>
        <v>0.52613937499999996</v>
      </c>
      <c r="R98" s="158">
        <f t="shared" si="24"/>
        <v>0.56126874999999998</v>
      </c>
      <c r="S98" s="1169"/>
      <c r="T98" s="47"/>
      <c r="U98" s="47"/>
      <c r="V98" s="47"/>
      <c r="W98" s="69"/>
      <c r="X98" s="69"/>
      <c r="Y98" s="47"/>
      <c r="Z98" s="47"/>
      <c r="AA98" s="1326"/>
      <c r="AB98" s="1326"/>
      <c r="AC98" s="1326"/>
      <c r="AD98" s="1326"/>
      <c r="AE98" s="1326"/>
      <c r="AF98" s="1326"/>
      <c r="AG98" s="1322"/>
      <c r="AH98" s="1322"/>
      <c r="AI98" s="1322"/>
      <c r="AJ98" s="1322"/>
      <c r="AK98" s="1322"/>
    </row>
    <row r="99" spans="1:37">
      <c r="A99" s="216"/>
      <c r="B99" s="165"/>
      <c r="C99" s="167" t="s">
        <v>185</v>
      </c>
      <c r="D99" s="228">
        <f t="shared" ref="D99:R99" si="25">D97/(1+D12)</f>
        <v>0.453621</v>
      </c>
      <c r="E99" s="163">
        <f t="shared" si="25"/>
        <v>0.46600999999999998</v>
      </c>
      <c r="F99" s="164">
        <f t="shared" si="25"/>
        <v>0.45652750000000003</v>
      </c>
      <c r="G99" s="228">
        <f t="shared" si="25"/>
        <v>0.50936000000000003</v>
      </c>
      <c r="H99" s="163">
        <f t="shared" si="25"/>
        <v>0.4989945833333333</v>
      </c>
      <c r="I99" s="164">
        <f t="shared" si="25"/>
        <v>0.51878124999999997</v>
      </c>
      <c r="J99" s="228">
        <f t="shared" si="25"/>
        <v>0.50355002477577937</v>
      </c>
      <c r="K99" s="163">
        <f t="shared" si="25"/>
        <v>0.49234089874345516</v>
      </c>
      <c r="L99" s="164">
        <f t="shared" si="25"/>
        <v>0.51390940080810366</v>
      </c>
      <c r="M99" s="228">
        <f t="shared" si="25"/>
        <v>0.56542977651480686</v>
      </c>
      <c r="N99" s="163">
        <f t="shared" si="25"/>
        <v>0.55921199999999993</v>
      </c>
      <c r="O99" s="164">
        <f t="shared" si="25"/>
        <v>0.54921153131382183</v>
      </c>
      <c r="P99" s="228">
        <f t="shared" si="25"/>
        <v>0.56657968749999998</v>
      </c>
      <c r="Q99" s="163">
        <f t="shared" si="25"/>
        <v>0.54901500000000003</v>
      </c>
      <c r="R99" s="164">
        <f t="shared" si="25"/>
        <v>0.58371950000000006</v>
      </c>
      <c r="S99" s="1169"/>
      <c r="T99" s="47"/>
      <c r="U99" s="47"/>
      <c r="V99" s="47"/>
      <c r="W99" s="69"/>
      <c r="X99" s="69"/>
      <c r="Y99" s="47"/>
      <c r="Z99" s="47"/>
      <c r="AA99" s="1326"/>
      <c r="AB99" s="1326"/>
      <c r="AC99" s="1326"/>
      <c r="AD99" s="1326"/>
      <c r="AE99" s="1326"/>
      <c r="AF99" s="1326"/>
      <c r="AG99" s="1322"/>
      <c r="AH99" s="1322"/>
      <c r="AI99" s="1322"/>
      <c r="AJ99" s="1322"/>
      <c r="AK99" s="1322"/>
    </row>
    <row r="100" spans="1:37">
      <c r="A100" s="216"/>
      <c r="B100" s="126"/>
      <c r="C100" s="126"/>
      <c r="D100" s="48"/>
      <c r="E100" s="48"/>
      <c r="F100" s="48"/>
      <c r="G100" s="662"/>
      <c r="H100" s="67"/>
      <c r="I100" s="67"/>
      <c r="J100" s="48"/>
      <c r="K100" s="67"/>
      <c r="L100" s="67"/>
      <c r="M100" s="662"/>
      <c r="N100" s="67"/>
      <c r="O100" s="67"/>
      <c r="P100" s="662"/>
      <c r="Q100" s="67"/>
      <c r="R100" s="415" t="s">
        <v>355</v>
      </c>
      <c r="T100" s="47"/>
      <c r="U100" s="47"/>
      <c r="V100" s="47"/>
      <c r="W100" s="69"/>
      <c r="X100" s="69"/>
      <c r="Y100" s="47"/>
      <c r="Z100" s="47"/>
      <c r="AA100" s="1326"/>
      <c r="AB100" s="1326"/>
      <c r="AC100" s="1326"/>
      <c r="AD100" s="1326"/>
      <c r="AE100" s="1326"/>
      <c r="AF100" s="1326"/>
      <c r="AG100" s="1325"/>
      <c r="AH100" s="1306"/>
      <c r="AI100" s="1306"/>
      <c r="AJ100" s="1306"/>
    </row>
    <row r="101" spans="1:37">
      <c r="A101" s="216"/>
      <c r="B101" s="582" t="s">
        <v>608</v>
      </c>
      <c r="C101" s="583"/>
      <c r="D101" s="599" t="s">
        <v>151</v>
      </c>
      <c r="E101" s="494" t="s">
        <v>152</v>
      </c>
      <c r="F101" s="495" t="s">
        <v>153</v>
      </c>
      <c r="G101" s="496" t="s">
        <v>154</v>
      </c>
      <c r="H101" s="495" t="s">
        <v>155</v>
      </c>
      <c r="I101" s="495" t="s">
        <v>156</v>
      </c>
      <c r="J101" s="496" t="s">
        <v>157</v>
      </c>
      <c r="K101" s="495" t="s">
        <v>158</v>
      </c>
      <c r="L101" s="487" t="s">
        <v>159</v>
      </c>
      <c r="M101" s="495" t="s">
        <v>160</v>
      </c>
      <c r="N101" s="495" t="s">
        <v>161</v>
      </c>
      <c r="O101" s="495" t="s">
        <v>162</v>
      </c>
      <c r="P101" s="495" t="s">
        <v>163</v>
      </c>
      <c r="Q101" s="589" t="s">
        <v>164</v>
      </c>
      <c r="R101" s="67"/>
      <c r="T101" s="47"/>
      <c r="U101" s="47"/>
      <c r="V101" s="47"/>
      <c r="W101" s="69"/>
      <c r="X101" s="69"/>
      <c r="Y101" s="47"/>
      <c r="Z101" s="47"/>
      <c r="AA101" s="1326"/>
      <c r="AB101" s="1326"/>
      <c r="AC101" s="1326"/>
      <c r="AD101" s="1326"/>
      <c r="AE101" s="1326"/>
      <c r="AF101" s="1326"/>
      <c r="AG101" s="1325"/>
      <c r="AH101" s="1306"/>
      <c r="AI101" s="1306"/>
      <c r="AJ101" s="1306"/>
    </row>
    <row r="102" spans="1:37">
      <c r="A102" s="216"/>
      <c r="B102" s="48"/>
      <c r="C102" s="593" t="s">
        <v>139</v>
      </c>
      <c r="D102" s="590">
        <v>1</v>
      </c>
      <c r="E102" s="618">
        <f t="shared" ref="E102:Q102" si="26">E116/E$115/2*(1+E68/100)^E$115</f>
        <v>4.5492018210875596E-4</v>
      </c>
      <c r="F102" s="619">
        <f t="shared" si="26"/>
        <v>5.4161406125042286E-4</v>
      </c>
      <c r="G102" s="620">
        <f t="shared" si="26"/>
        <v>6.1408214538861668E-4</v>
      </c>
      <c r="H102" s="619">
        <f t="shared" si="26"/>
        <v>7.238631924535462E-4</v>
      </c>
      <c r="I102" s="619">
        <f t="shared" si="26"/>
        <v>8.7781015325403167E-4</v>
      </c>
      <c r="J102" s="620">
        <f t="shared" si="26"/>
        <v>1.0445306432282885E-3</v>
      </c>
      <c r="K102" s="619">
        <f t="shared" si="26"/>
        <v>1.1790148265631189E-3</v>
      </c>
      <c r="L102" s="621">
        <f t="shared" si="26"/>
        <v>1.2899819238847323E-3</v>
      </c>
      <c r="M102" s="619">
        <f t="shared" si="26"/>
        <v>1.3728771702508581E-3</v>
      </c>
      <c r="N102" s="619">
        <f t="shared" si="26"/>
        <v>1.422804224432388E-3</v>
      </c>
      <c r="O102" s="619">
        <f t="shared" si="26"/>
        <v>1.5033501046686378E-3</v>
      </c>
      <c r="P102" s="619">
        <f t="shared" si="26"/>
        <v>1.6252308574524325E-3</v>
      </c>
      <c r="Q102" s="635">
        <f t="shared" si="26"/>
        <v>1.7931845359714386E-3</v>
      </c>
      <c r="R102" s="67"/>
      <c r="T102" s="47"/>
      <c r="U102" s="47"/>
      <c r="V102" s="47"/>
      <c r="W102" s="69"/>
      <c r="X102" s="69"/>
      <c r="Y102" s="47"/>
      <c r="Z102" s="47"/>
      <c r="AA102" s="1326"/>
      <c r="AB102" s="1326"/>
      <c r="AC102" s="1326"/>
      <c r="AD102" s="1326"/>
      <c r="AE102" s="1326"/>
      <c r="AF102" s="1326"/>
      <c r="AG102" s="1325"/>
      <c r="AH102" s="1306"/>
      <c r="AI102" s="1306"/>
      <c r="AJ102" s="1306"/>
    </row>
    <row r="103" spans="1:37">
      <c r="A103" s="216"/>
      <c r="B103" s="48"/>
      <c r="C103" s="591" t="s">
        <v>143</v>
      </c>
      <c r="D103" s="590">
        <v>2</v>
      </c>
      <c r="E103" s="622">
        <f t="shared" ref="E103:Q103" si="27">E117/E$115/2*(1+E69/100)^E$115</f>
        <v>5.1180092573190419E-4</v>
      </c>
      <c r="F103" s="623">
        <f t="shared" si="27"/>
        <v>5.8448165790977373E-4</v>
      </c>
      <c r="G103" s="623">
        <f t="shared" si="27"/>
        <v>7.2320744102516194E-4</v>
      </c>
      <c r="H103" s="623">
        <f t="shared" si="27"/>
        <v>8.2972450225676244E-4</v>
      </c>
      <c r="I103" s="623">
        <f t="shared" si="27"/>
        <v>9.376333943659378E-4</v>
      </c>
      <c r="J103" s="623">
        <f t="shared" si="27"/>
        <v>1.0738023495036255E-3</v>
      </c>
      <c r="K103" s="623">
        <f t="shared" si="27"/>
        <v>1.1867028555202267E-3</v>
      </c>
      <c r="L103" s="624">
        <f t="shared" si="27"/>
        <v>1.2439973804007427E-3</v>
      </c>
      <c r="M103" s="623">
        <f t="shared" si="27"/>
        <v>1.3059562221831703E-3</v>
      </c>
      <c r="N103" s="623">
        <f t="shared" si="27"/>
        <v>1.4030091263763395E-3</v>
      </c>
      <c r="O103" s="623">
        <f t="shared" si="27"/>
        <v>1.5141363194727316E-3</v>
      </c>
      <c r="P103" s="623">
        <f t="shared" si="27"/>
        <v>1.6543851882133778E-3</v>
      </c>
      <c r="Q103" s="636">
        <f t="shared" si="27"/>
        <v>1.8768465162439319E-3</v>
      </c>
      <c r="R103" s="67"/>
      <c r="T103" s="47"/>
      <c r="U103" s="47"/>
      <c r="V103" s="47"/>
      <c r="W103" s="69"/>
      <c r="X103" s="69"/>
      <c r="Y103" s="47"/>
      <c r="Z103" s="47"/>
      <c r="AA103" s="1326"/>
      <c r="AB103" s="1326"/>
      <c r="AC103" s="1326"/>
      <c r="AD103" s="1326"/>
      <c r="AE103" s="1326"/>
      <c r="AF103" s="1326"/>
      <c r="AG103" s="1325"/>
      <c r="AH103" s="1306"/>
      <c r="AI103" s="1306"/>
      <c r="AJ103" s="1306"/>
    </row>
    <row r="104" spans="1:37">
      <c r="A104" s="216"/>
      <c r="B104" s="48"/>
      <c r="C104" s="591" t="s">
        <v>142</v>
      </c>
      <c r="D104" s="590">
        <v>3</v>
      </c>
      <c r="E104" s="625">
        <f t="shared" ref="E104:Q104" si="28">E118/E$115/2*(1+E70/100)^E$115</f>
        <v>6.7791612889613355E-4</v>
      </c>
      <c r="F104" s="623">
        <f t="shared" si="28"/>
        <v>7.5464247526250733E-4</v>
      </c>
      <c r="G104" s="626">
        <f t="shared" si="28"/>
        <v>8.5959971302027082E-4</v>
      </c>
      <c r="H104" s="623">
        <f t="shared" si="28"/>
        <v>9.4693513556761018E-4</v>
      </c>
      <c r="I104" s="623">
        <f t="shared" si="28"/>
        <v>1.0187079316837915E-3</v>
      </c>
      <c r="J104" s="626">
        <f t="shared" si="28"/>
        <v>1.0467581078829893E-3</v>
      </c>
      <c r="K104" s="623">
        <f t="shared" si="28"/>
        <v>1.0672996444817057E-3</v>
      </c>
      <c r="L104" s="627">
        <f t="shared" si="28"/>
        <v>1.130928362305605E-3</v>
      </c>
      <c r="M104" s="623">
        <f t="shared" si="28"/>
        <v>1.2414265608359746E-3</v>
      </c>
      <c r="N104" s="623">
        <f t="shared" si="28"/>
        <v>1.4257197721228793E-3</v>
      </c>
      <c r="O104" s="623">
        <f t="shared" si="28"/>
        <v>1.6490746619026587E-3</v>
      </c>
      <c r="P104" s="623">
        <f t="shared" si="28"/>
        <v>1.8779575986040071E-3</v>
      </c>
      <c r="Q104" s="637">
        <f t="shared" si="28"/>
        <v>2.1829943711964132E-3</v>
      </c>
      <c r="R104" s="67"/>
      <c r="T104" s="47"/>
      <c r="U104" s="47"/>
      <c r="V104" s="47"/>
      <c r="W104" s="69"/>
      <c r="X104" s="69"/>
      <c r="Y104" s="47"/>
      <c r="Z104" s="47"/>
      <c r="AA104" s="1326"/>
      <c r="AB104" s="1326"/>
      <c r="AC104" s="1326"/>
      <c r="AD104" s="1326"/>
      <c r="AE104" s="1326"/>
      <c r="AF104" s="1326"/>
      <c r="AG104" s="1325"/>
      <c r="AH104" s="1306"/>
      <c r="AI104" s="1306"/>
      <c r="AJ104" s="1306"/>
    </row>
    <row r="105" spans="1:37">
      <c r="A105" s="216"/>
      <c r="B105" s="48"/>
      <c r="C105" s="591" t="s">
        <v>140</v>
      </c>
      <c r="D105" s="590">
        <v>4</v>
      </c>
      <c r="E105" s="625">
        <f t="shared" ref="E105:L112" si="29">E119/E$115/2*(1+E71/100)^E$115</f>
        <v>9.5793175646526237E-4</v>
      </c>
      <c r="F105" s="623">
        <f t="shared" si="29"/>
        <v>1.2335551203949096E-3</v>
      </c>
      <c r="G105" s="626">
        <f t="shared" si="29"/>
        <v>1.4019107884538668E-3</v>
      </c>
      <c r="H105" s="623">
        <f t="shared" si="29"/>
        <v>1.5856543109114222E-3</v>
      </c>
      <c r="I105" s="623">
        <f t="shared" si="29"/>
        <v>1.7146936162305915E-3</v>
      </c>
      <c r="J105" s="626">
        <f t="shared" si="29"/>
        <v>1.8246760752202941E-3</v>
      </c>
      <c r="K105" s="623">
        <f t="shared" si="29"/>
        <v>1.9892018555597714E-3</v>
      </c>
      <c r="L105" s="627">
        <f t="shared" si="29"/>
        <v>2.2211341555311761E-3</v>
      </c>
      <c r="M105" s="139" t="s">
        <v>165</v>
      </c>
      <c r="N105" s="139" t="s">
        <v>165</v>
      </c>
      <c r="O105" s="139" t="s">
        <v>165</v>
      </c>
      <c r="P105" s="139" t="s">
        <v>165</v>
      </c>
      <c r="Q105" s="587" t="s">
        <v>165</v>
      </c>
      <c r="R105" s="67"/>
      <c r="T105" s="47"/>
      <c r="U105" s="47"/>
      <c r="V105" s="47"/>
      <c r="W105" s="69"/>
      <c r="X105" s="69"/>
      <c r="Y105" s="47"/>
      <c r="Z105" s="47"/>
      <c r="AA105" s="1326"/>
      <c r="AB105" s="1326"/>
      <c r="AC105" s="1326"/>
      <c r="AD105" s="1326"/>
      <c r="AE105" s="1326"/>
      <c r="AF105" s="1326"/>
      <c r="AG105" s="1325"/>
      <c r="AH105" s="1306"/>
      <c r="AI105" s="1306"/>
      <c r="AJ105" s="1306"/>
    </row>
    <row r="106" spans="1:37">
      <c r="A106" s="216"/>
      <c r="B106" s="48"/>
      <c r="C106" s="591" t="s">
        <v>171</v>
      </c>
      <c r="D106" s="590">
        <v>5</v>
      </c>
      <c r="E106" s="625">
        <f t="shared" si="29"/>
        <v>1.5313670832931532E-3</v>
      </c>
      <c r="F106" s="623">
        <f t="shared" si="29"/>
        <v>1.7281049079051016E-3</v>
      </c>
      <c r="G106" s="626">
        <f t="shared" si="29"/>
        <v>2.0565280185123806E-3</v>
      </c>
      <c r="H106" s="623">
        <f t="shared" si="29"/>
        <v>2.3182153175127177E-3</v>
      </c>
      <c r="I106" s="623">
        <f t="shared" si="29"/>
        <v>2.5658696095001055E-3</v>
      </c>
      <c r="J106" s="626">
        <f t="shared" si="29"/>
        <v>2.9157446930635563E-3</v>
      </c>
      <c r="K106" s="623">
        <f t="shared" si="29"/>
        <v>3.1812448725767042E-3</v>
      </c>
      <c r="L106" s="627">
        <f t="shared" si="29"/>
        <v>3.4597270948533063E-3</v>
      </c>
      <c r="M106" s="139" t="s">
        <v>165</v>
      </c>
      <c r="N106" s="139" t="s">
        <v>165</v>
      </c>
      <c r="O106" s="139" t="s">
        <v>165</v>
      </c>
      <c r="P106" s="139" t="s">
        <v>165</v>
      </c>
      <c r="Q106" s="587" t="s">
        <v>165</v>
      </c>
      <c r="R106" s="67"/>
      <c r="T106" s="47"/>
      <c r="U106" s="47"/>
      <c r="V106" s="47"/>
      <c r="W106" s="69"/>
      <c r="X106" s="69"/>
      <c r="Y106" s="47"/>
      <c r="Z106" s="47"/>
      <c r="AA106" s="1326"/>
      <c r="AB106" s="1326"/>
      <c r="AC106" s="1326"/>
      <c r="AD106" s="1326"/>
      <c r="AE106" s="1326"/>
      <c r="AF106" s="1326"/>
      <c r="AG106" s="1325"/>
      <c r="AH106" s="1306"/>
      <c r="AI106" s="1306"/>
      <c r="AJ106" s="1306"/>
    </row>
    <row r="107" spans="1:37">
      <c r="A107" s="216"/>
      <c r="B107" s="48"/>
      <c r="C107" s="591" t="s">
        <v>148</v>
      </c>
      <c r="D107" s="590">
        <v>6</v>
      </c>
      <c r="E107" s="622">
        <f t="shared" si="29"/>
        <v>4.0024066842001427E-3</v>
      </c>
      <c r="F107" s="623">
        <f t="shared" si="29"/>
        <v>4.8388593722871178E-3</v>
      </c>
      <c r="G107" s="623">
        <f t="shared" si="29"/>
        <v>5.4812632502066619E-3</v>
      </c>
      <c r="H107" s="623">
        <f t="shared" si="29"/>
        <v>6.1492770693478537E-3</v>
      </c>
      <c r="I107" s="623">
        <f t="shared" si="29"/>
        <v>6.5759973911184207E-3</v>
      </c>
      <c r="J107" s="623">
        <f t="shared" si="29"/>
        <v>6.8465900340614044E-3</v>
      </c>
      <c r="K107" s="623">
        <f t="shared" si="29"/>
        <v>7.0807384528542225E-3</v>
      </c>
      <c r="L107" s="624">
        <f t="shared" si="29"/>
        <v>7.4450609405453195E-3</v>
      </c>
      <c r="M107" s="139" t="s">
        <v>165</v>
      </c>
      <c r="N107" s="139" t="s">
        <v>165</v>
      </c>
      <c r="O107" s="139" t="s">
        <v>165</v>
      </c>
      <c r="P107" s="139" t="s">
        <v>165</v>
      </c>
      <c r="Q107" s="587" t="s">
        <v>165</v>
      </c>
      <c r="R107" s="67"/>
      <c r="T107" s="47"/>
      <c r="U107" s="47"/>
      <c r="V107" s="47"/>
      <c r="W107" s="69"/>
      <c r="X107" s="69"/>
      <c r="Y107" s="47"/>
      <c r="Z107" s="47"/>
      <c r="AA107" s="1326"/>
      <c r="AB107" s="1326"/>
      <c r="AC107" s="1326"/>
      <c r="AD107" s="1326"/>
      <c r="AE107" s="1326"/>
      <c r="AF107" s="1326"/>
      <c r="AG107" s="1325"/>
      <c r="AH107" s="1306"/>
      <c r="AI107" s="1306"/>
      <c r="AJ107" s="1306"/>
    </row>
    <row r="108" spans="1:37">
      <c r="A108" s="216"/>
      <c r="B108" s="48"/>
      <c r="C108" s="591" t="s">
        <v>349</v>
      </c>
      <c r="D108" s="590">
        <v>7</v>
      </c>
      <c r="E108" s="625">
        <f t="shared" si="29"/>
        <v>4.4881984258743641E-3</v>
      </c>
      <c r="F108" s="623">
        <f t="shared" si="29"/>
        <v>5.361980093444566E-3</v>
      </c>
      <c r="G108" s="626">
        <f t="shared" si="29"/>
        <v>6.0055181016148733E-3</v>
      </c>
      <c r="H108" s="623">
        <f t="shared" si="29"/>
        <v>6.3515962156521126E-3</v>
      </c>
      <c r="I108" s="623">
        <f t="shared" si="29"/>
        <v>6.8020477627844115E-3</v>
      </c>
      <c r="J108" s="626">
        <f t="shared" si="29"/>
        <v>7.4673649422180239E-3</v>
      </c>
      <c r="K108" s="623">
        <f t="shared" si="29"/>
        <v>7.9892186622670981E-3</v>
      </c>
      <c r="L108" s="627">
        <f t="shared" si="29"/>
        <v>8.4971230347016709E-3</v>
      </c>
      <c r="M108" s="139" t="s">
        <v>165</v>
      </c>
      <c r="N108" s="139" t="s">
        <v>165</v>
      </c>
      <c r="O108" s="139" t="s">
        <v>165</v>
      </c>
      <c r="P108" s="139" t="s">
        <v>165</v>
      </c>
      <c r="Q108" s="587" t="s">
        <v>165</v>
      </c>
      <c r="R108" s="67"/>
      <c r="T108" s="47"/>
      <c r="U108" s="47"/>
      <c r="V108" s="47"/>
      <c r="W108" s="69"/>
      <c r="X108" s="69"/>
      <c r="Y108" s="47"/>
      <c r="Z108" s="47"/>
      <c r="AA108" s="1326"/>
      <c r="AB108" s="1326"/>
      <c r="AC108" s="1326"/>
      <c r="AD108" s="1326"/>
      <c r="AE108" s="1326"/>
      <c r="AF108" s="1326"/>
      <c r="AG108" s="1325"/>
      <c r="AH108" s="1306"/>
      <c r="AI108" s="1306"/>
      <c r="AJ108" s="1306"/>
    </row>
    <row r="109" spans="1:37">
      <c r="A109" s="216"/>
      <c r="B109" s="48"/>
      <c r="C109" s="591" t="s">
        <v>149</v>
      </c>
      <c r="D109" s="590">
        <v>8</v>
      </c>
      <c r="E109" s="628">
        <f t="shared" si="29"/>
        <v>1.0329687735023253E-2</v>
      </c>
      <c r="F109" s="623">
        <f t="shared" si="29"/>
        <v>1.2172796239418401E-2</v>
      </c>
      <c r="G109" s="629">
        <f t="shared" si="29"/>
        <v>1.3331505936951579E-2</v>
      </c>
      <c r="H109" s="623">
        <f t="shared" si="29"/>
        <v>1.435529828109963E-2</v>
      </c>
      <c r="I109" s="623">
        <f t="shared" si="29"/>
        <v>1.5466061778854409E-2</v>
      </c>
      <c r="J109" s="629">
        <f t="shared" si="29"/>
        <v>1.6923639130248178E-2</v>
      </c>
      <c r="K109" s="623">
        <f t="shared" si="29"/>
        <v>1.6927825939423147E-2</v>
      </c>
      <c r="L109" s="630">
        <f t="shared" si="29"/>
        <v>1.9401047194048351E-2</v>
      </c>
      <c r="M109" s="139" t="s">
        <v>165</v>
      </c>
      <c r="N109" s="139" t="s">
        <v>165</v>
      </c>
      <c r="O109" s="139" t="s">
        <v>165</v>
      </c>
      <c r="P109" s="139" t="s">
        <v>165</v>
      </c>
      <c r="Q109" s="587" t="s">
        <v>165</v>
      </c>
      <c r="R109" s="67"/>
      <c r="T109" s="47"/>
      <c r="U109" s="47"/>
      <c r="V109" s="47"/>
      <c r="W109" s="69"/>
      <c r="X109" s="69"/>
      <c r="Y109" s="47"/>
      <c r="Z109" s="47"/>
      <c r="AA109" s="1326"/>
      <c r="AB109" s="1326"/>
      <c r="AC109" s="1326"/>
      <c r="AD109" s="1326"/>
      <c r="AE109" s="1326"/>
      <c r="AF109" s="1326"/>
      <c r="AG109" s="1325"/>
      <c r="AH109" s="1306"/>
      <c r="AI109" s="1306"/>
      <c r="AJ109" s="1306"/>
    </row>
    <row r="110" spans="1:37">
      <c r="A110" s="216"/>
      <c r="B110" s="48"/>
      <c r="C110" s="591" t="s">
        <v>141</v>
      </c>
      <c r="D110" s="590">
        <v>9</v>
      </c>
      <c r="E110" s="628">
        <f t="shared" si="29"/>
        <v>1.3082856258473599E-2</v>
      </c>
      <c r="F110" s="623">
        <f t="shared" si="29"/>
        <v>1.4661613659679482E-2</v>
      </c>
      <c r="G110" s="629">
        <f t="shared" si="29"/>
        <v>1.6663672465174219E-2</v>
      </c>
      <c r="H110" s="623">
        <f t="shared" si="29"/>
        <v>1.8636355175215478E-2</v>
      </c>
      <c r="I110" s="623">
        <f t="shared" si="29"/>
        <v>2.1173872999780196E-2</v>
      </c>
      <c r="J110" s="629">
        <f t="shared" si="29"/>
        <v>2.3640901872180382E-2</v>
      </c>
      <c r="K110" s="623">
        <f t="shared" si="29"/>
        <v>2.1848099418926011E-2</v>
      </c>
      <c r="L110" s="630">
        <f t="shared" si="29"/>
        <v>2.7299007730087019E-2</v>
      </c>
      <c r="M110" s="139" t="s">
        <v>165</v>
      </c>
      <c r="N110" s="139" t="s">
        <v>165</v>
      </c>
      <c r="O110" s="139" t="s">
        <v>165</v>
      </c>
      <c r="P110" s="139" t="s">
        <v>165</v>
      </c>
      <c r="Q110" s="587" t="s">
        <v>165</v>
      </c>
      <c r="R110" s="67"/>
      <c r="T110" s="47"/>
      <c r="U110" s="47"/>
      <c r="V110" s="47"/>
      <c r="W110" s="69"/>
      <c r="X110" s="69"/>
      <c r="Y110" s="47"/>
      <c r="Z110" s="47"/>
      <c r="AA110" s="1326"/>
      <c r="AB110" s="1326"/>
      <c r="AC110" s="1326"/>
      <c r="AD110" s="1326"/>
      <c r="AE110" s="1326"/>
      <c r="AF110" s="1326"/>
      <c r="AG110" s="1325"/>
      <c r="AH110" s="1306"/>
      <c r="AI110" s="1306"/>
      <c r="AJ110" s="1306"/>
    </row>
    <row r="111" spans="1:37">
      <c r="A111" s="216"/>
      <c r="B111" s="48"/>
      <c r="C111" s="591" t="s">
        <v>150</v>
      </c>
      <c r="D111" s="590">
        <v>10</v>
      </c>
      <c r="E111" s="628">
        <f t="shared" si="29"/>
        <v>1.7595839622799959E-2</v>
      </c>
      <c r="F111" s="623">
        <f t="shared" si="29"/>
        <v>1.9663552996937672E-2</v>
      </c>
      <c r="G111" s="629">
        <f t="shared" si="29"/>
        <v>2.1725814769883334E-2</v>
      </c>
      <c r="H111" s="623">
        <f t="shared" si="29"/>
        <v>2.375318389092854E-2</v>
      </c>
      <c r="I111" s="623">
        <f t="shared" si="29"/>
        <v>2.6113728397402163E-2</v>
      </c>
      <c r="J111" s="629">
        <f t="shared" si="29"/>
        <v>2.8855798685042917E-2</v>
      </c>
      <c r="K111" s="623">
        <f t="shared" si="29"/>
        <v>3.1073968220015801E-2</v>
      </c>
      <c r="L111" s="630">
        <f t="shared" si="29"/>
        <v>3.3205994871160882E-2</v>
      </c>
      <c r="M111" s="139" t="s">
        <v>165</v>
      </c>
      <c r="N111" s="139" t="s">
        <v>165</v>
      </c>
      <c r="O111" s="139" t="s">
        <v>165</v>
      </c>
      <c r="P111" s="139" t="s">
        <v>165</v>
      </c>
      <c r="Q111" s="587" t="s">
        <v>165</v>
      </c>
      <c r="R111" s="67"/>
      <c r="T111" s="47"/>
      <c r="U111" s="47"/>
      <c r="V111" s="47"/>
      <c r="W111" s="69"/>
      <c r="X111" s="69"/>
      <c r="Y111" s="47"/>
      <c r="Z111" s="47"/>
      <c r="AA111" s="1326"/>
      <c r="AB111" s="1326"/>
      <c r="AC111" s="1326"/>
      <c r="AD111" s="1326"/>
      <c r="AE111" s="1326"/>
      <c r="AF111" s="1326"/>
      <c r="AG111" s="1325"/>
      <c r="AH111" s="1306"/>
      <c r="AI111" s="1306"/>
      <c r="AJ111" s="1306"/>
    </row>
    <row r="112" spans="1:37">
      <c r="A112" s="216"/>
      <c r="B112" s="597"/>
      <c r="C112" s="592" t="s">
        <v>166</v>
      </c>
      <c r="D112" s="600">
        <v>11</v>
      </c>
      <c r="E112" s="631">
        <f t="shared" si="29"/>
        <v>2.5808119022210061E-2</v>
      </c>
      <c r="F112" s="632">
        <f t="shared" si="29"/>
        <v>2.7986540276747761E-2</v>
      </c>
      <c r="G112" s="633">
        <f t="shared" si="29"/>
        <v>3.081739108963891E-2</v>
      </c>
      <c r="H112" s="632">
        <f t="shared" si="29"/>
        <v>3.3708234366607776E-2</v>
      </c>
      <c r="I112" s="632">
        <f t="shared" si="29"/>
        <v>3.6918235670558561E-2</v>
      </c>
      <c r="J112" s="633">
        <f t="shared" si="29"/>
        <v>4.0953656933842293E-2</v>
      </c>
      <c r="K112" s="632">
        <f t="shared" si="29"/>
        <v>4.3123090187404567E-2</v>
      </c>
      <c r="L112" s="634">
        <f t="shared" si="29"/>
        <v>4.5720665412897474E-2</v>
      </c>
      <c r="M112" s="144" t="s">
        <v>165</v>
      </c>
      <c r="N112" s="144" t="s">
        <v>165</v>
      </c>
      <c r="O112" s="144" t="s">
        <v>165</v>
      </c>
      <c r="P112" s="144" t="s">
        <v>165</v>
      </c>
      <c r="Q112" s="588" t="s">
        <v>165</v>
      </c>
      <c r="R112" s="67"/>
      <c r="T112" s="47"/>
      <c r="U112" s="47"/>
      <c r="V112" s="47"/>
      <c r="W112" s="69"/>
      <c r="X112" s="69"/>
      <c r="Y112" s="47"/>
      <c r="Z112" s="47"/>
      <c r="AA112" s="1326"/>
      <c r="AB112" s="1326"/>
      <c r="AC112" s="1326"/>
      <c r="AD112" s="1326"/>
      <c r="AE112" s="1326"/>
      <c r="AF112" s="1326"/>
      <c r="AG112" s="1325"/>
      <c r="AH112" s="1306"/>
      <c r="AI112" s="1306"/>
      <c r="AJ112" s="1306"/>
    </row>
    <row r="113" spans="1:36">
      <c r="A113" s="216"/>
      <c r="B113" s="615" t="s">
        <v>351</v>
      </c>
      <c r="C113" s="616" t="s">
        <v>349</v>
      </c>
      <c r="D113" s="617"/>
      <c r="E113" s="613">
        <f t="shared" ref="E113:L113" si="30">E74-E59</f>
        <v>2.9137000000000031</v>
      </c>
      <c r="F113" s="614">
        <f t="shared" si="30"/>
        <v>3.3541958598726125</v>
      </c>
      <c r="G113" s="614">
        <f t="shared" si="30"/>
        <v>3.794691719745221</v>
      </c>
      <c r="H113" s="614">
        <f t="shared" si="30"/>
        <v>3.9696668789808904</v>
      </c>
      <c r="I113" s="614">
        <f t="shared" si="30"/>
        <v>4.1446420382165599</v>
      </c>
      <c r="J113" s="614">
        <f t="shared" si="30"/>
        <v>4.3196171974522297</v>
      </c>
      <c r="K113" s="614">
        <f t="shared" si="30"/>
        <v>4.2168012738853502</v>
      </c>
      <c r="L113" s="610">
        <f t="shared" si="30"/>
        <v>4.1139853503184707</v>
      </c>
      <c r="M113" s="611" t="s">
        <v>165</v>
      </c>
      <c r="N113" s="611" t="s">
        <v>165</v>
      </c>
      <c r="O113" s="611" t="s">
        <v>165</v>
      </c>
      <c r="P113" s="611" t="s">
        <v>165</v>
      </c>
      <c r="Q113" s="612" t="s">
        <v>165</v>
      </c>
      <c r="R113" s="67"/>
      <c r="T113" s="47"/>
      <c r="U113" s="47"/>
      <c r="V113" s="47"/>
      <c r="W113" s="69"/>
      <c r="X113" s="69"/>
      <c r="Y113" s="47"/>
      <c r="Z113" s="47"/>
      <c r="AA113" s="1326"/>
      <c r="AB113" s="1326"/>
      <c r="AC113" s="1326"/>
      <c r="AD113" s="1326"/>
      <c r="AE113" s="1326"/>
      <c r="AF113" s="1326"/>
      <c r="AG113" s="1325"/>
      <c r="AH113" s="1306"/>
      <c r="AI113" s="1306"/>
      <c r="AJ113" s="1306"/>
    </row>
    <row r="114" spans="1:36">
      <c r="A114" s="215"/>
      <c r="B114" s="229" t="s">
        <v>358</v>
      </c>
      <c r="C114" s="192"/>
      <c r="D114" s="189"/>
      <c r="E114" s="161"/>
      <c r="F114" s="161"/>
      <c r="G114" s="178"/>
      <c r="H114" s="161"/>
      <c r="I114" s="161"/>
      <c r="J114" s="160"/>
      <c r="K114" s="161"/>
      <c r="L114" s="161"/>
      <c r="M114" s="178"/>
      <c r="N114" s="161"/>
      <c r="O114" s="161"/>
      <c r="P114" s="178"/>
      <c r="Q114" s="161"/>
      <c r="R114" s="161"/>
      <c r="T114" s="51"/>
      <c r="U114" s="51"/>
      <c r="V114" s="51"/>
      <c r="W114" s="35"/>
      <c r="X114" s="35"/>
      <c r="Y114" s="51"/>
      <c r="Z114" s="51"/>
      <c r="AA114" s="1326"/>
      <c r="AB114" s="1326"/>
      <c r="AC114" s="1326"/>
      <c r="AD114" s="1326"/>
      <c r="AE114" s="1326"/>
      <c r="AF114" s="1326"/>
      <c r="AG114" s="1325"/>
      <c r="AH114" s="1306"/>
      <c r="AI114" s="1306"/>
      <c r="AJ114" s="1306"/>
    </row>
    <row r="115" spans="1:36" ht="13.5" thickBot="1">
      <c r="A115" s="216"/>
      <c r="B115" s="579" t="s">
        <v>354</v>
      </c>
      <c r="C115" s="580"/>
      <c r="D115" s="160"/>
      <c r="E115" s="584">
        <v>3</v>
      </c>
      <c r="F115" s="585">
        <v>4</v>
      </c>
      <c r="G115" s="585">
        <v>5</v>
      </c>
      <c r="H115" s="585">
        <v>6</v>
      </c>
      <c r="I115" s="585">
        <v>7</v>
      </c>
      <c r="J115" s="585">
        <v>8</v>
      </c>
      <c r="K115" s="585">
        <v>9</v>
      </c>
      <c r="L115" s="581">
        <v>10</v>
      </c>
      <c r="M115" s="585">
        <v>11</v>
      </c>
      <c r="N115" s="585">
        <v>12</v>
      </c>
      <c r="O115" s="585">
        <v>13</v>
      </c>
      <c r="P115" s="585">
        <v>14</v>
      </c>
      <c r="Q115" s="586">
        <v>15</v>
      </c>
      <c r="R115" s="607" t="s">
        <v>611</v>
      </c>
      <c r="T115" s="47"/>
      <c r="U115" s="47"/>
      <c r="V115" s="47"/>
      <c r="W115" s="69"/>
      <c r="X115" s="69"/>
      <c r="Y115" s="47"/>
      <c r="Z115" s="47"/>
      <c r="AA115" s="1326"/>
      <c r="AB115" s="1326"/>
      <c r="AC115" s="1326"/>
      <c r="AD115" s="1326"/>
      <c r="AE115" s="1326"/>
      <c r="AF115" s="1326"/>
      <c r="AG115" s="1325"/>
      <c r="AH115" s="1306"/>
      <c r="AI115" s="1306"/>
      <c r="AJ115" s="1306"/>
    </row>
    <row r="116" spans="1:36">
      <c r="A116" s="216"/>
      <c r="B116" s="160"/>
      <c r="C116" s="594" t="s">
        <v>139</v>
      </c>
      <c r="D116" s="160"/>
      <c r="E116" s="952">
        <v>2.5619999999999996E-3</v>
      </c>
      <c r="F116" s="953">
        <v>3.9420000000000002E-3</v>
      </c>
      <c r="G116" s="953">
        <v>5.3879999999999996E-3</v>
      </c>
      <c r="H116" s="953">
        <v>7.3199999999999993E-3</v>
      </c>
      <c r="I116" s="953">
        <v>9.9000000000000008E-3</v>
      </c>
      <c r="J116" s="953">
        <v>1.2809999999999998E-2</v>
      </c>
      <c r="K116" s="953">
        <v>1.5521999999999999E-2</v>
      </c>
      <c r="L116" s="954">
        <v>1.7951999999999999E-2</v>
      </c>
      <c r="M116" s="953">
        <v>1.9980000000000001E-2</v>
      </c>
      <c r="N116" s="953">
        <v>2.1419999999999998E-2</v>
      </c>
      <c r="O116" s="953">
        <v>2.3190000000000002E-2</v>
      </c>
      <c r="P116" s="953">
        <v>2.547E-2</v>
      </c>
      <c r="Q116" s="964">
        <v>2.8332000000000003E-2</v>
      </c>
      <c r="R116" s="639">
        <v>0.85</v>
      </c>
      <c r="T116" s="47"/>
      <c r="U116" s="47"/>
      <c r="V116" s="47"/>
      <c r="W116" s="69"/>
      <c r="X116" s="69"/>
      <c r="Y116" s="47"/>
      <c r="Z116" s="47"/>
      <c r="AA116" s="1326"/>
      <c r="AB116" s="1326"/>
      <c r="AC116" s="1326"/>
      <c r="AD116" s="1326"/>
      <c r="AE116" s="1326"/>
      <c r="AF116" s="1326"/>
      <c r="AG116" s="1325"/>
      <c r="AH116" s="1306"/>
      <c r="AI116" s="1306"/>
      <c r="AJ116" s="1306"/>
    </row>
    <row r="117" spans="1:36">
      <c r="A117" s="216"/>
      <c r="B117" s="160"/>
      <c r="C117" s="595" t="s">
        <v>143</v>
      </c>
      <c r="D117" s="160"/>
      <c r="E117" s="955">
        <v>2.8679999999999995E-3</v>
      </c>
      <c r="F117" s="956">
        <v>4.2179999999999995E-3</v>
      </c>
      <c r="G117" s="956">
        <v>6.2639999999999996E-3</v>
      </c>
      <c r="H117" s="956">
        <v>8.2740000000000001E-3</v>
      </c>
      <c r="I117" s="956">
        <v>1.0421999999999999E-2</v>
      </c>
      <c r="J117" s="956">
        <v>1.2977999999999998E-2</v>
      </c>
      <c r="K117" s="956">
        <v>1.5377999999999999E-2</v>
      </c>
      <c r="L117" s="957">
        <v>1.7022000000000002E-2</v>
      </c>
      <c r="M117" s="956">
        <v>1.8641999999999999E-2</v>
      </c>
      <c r="N117" s="956">
        <v>2.0663999999999998E-2</v>
      </c>
      <c r="O117" s="956">
        <v>2.2787999999999999E-2</v>
      </c>
      <c r="P117" s="956">
        <v>2.5223999999999996E-2</v>
      </c>
      <c r="Q117" s="965">
        <v>2.8763999999999998E-2</v>
      </c>
      <c r="R117" s="640">
        <v>0.85</v>
      </c>
      <c r="T117" s="47"/>
      <c r="U117" s="47"/>
      <c r="V117" s="47"/>
      <c r="W117" s="69"/>
      <c r="X117" s="69"/>
      <c r="Y117" s="47"/>
      <c r="Z117" s="47"/>
      <c r="AA117" s="1326"/>
      <c r="AB117" s="1326"/>
      <c r="AC117" s="1326"/>
      <c r="AD117" s="1326"/>
      <c r="AE117" s="1326"/>
      <c r="AF117" s="1326"/>
      <c r="AG117" s="1325"/>
      <c r="AH117" s="1306"/>
      <c r="AI117" s="1306"/>
      <c r="AJ117" s="1306"/>
    </row>
    <row r="118" spans="1:36">
      <c r="A118" s="216"/>
      <c r="B118" s="160"/>
      <c r="C118" s="595" t="s">
        <v>142</v>
      </c>
      <c r="D118" s="160"/>
      <c r="E118" s="955">
        <v>3.7799999999999999E-3</v>
      </c>
      <c r="F118" s="956">
        <v>5.4000000000000003E-3</v>
      </c>
      <c r="G118" s="956">
        <v>7.3499999999999998E-3</v>
      </c>
      <c r="H118" s="956">
        <v>9.3120000000000008E-3</v>
      </c>
      <c r="I118" s="956">
        <v>1.1160000000000002E-2</v>
      </c>
      <c r="J118" s="956">
        <v>1.2468E-2</v>
      </c>
      <c r="K118" s="956">
        <v>1.3614000000000001E-2</v>
      </c>
      <c r="L118" s="957">
        <v>1.5216E-2</v>
      </c>
      <c r="M118" s="956">
        <v>1.7381999999999998E-2</v>
      </c>
      <c r="N118" s="956">
        <v>2.0544E-2</v>
      </c>
      <c r="O118" s="956">
        <v>2.4215999999999994E-2</v>
      </c>
      <c r="P118" s="956">
        <v>2.7857999999999997E-2</v>
      </c>
      <c r="Q118" s="965">
        <v>3.2453999999999997E-2</v>
      </c>
      <c r="R118" s="640">
        <v>0.85</v>
      </c>
      <c r="T118" s="47"/>
      <c r="U118" s="47"/>
      <c r="V118" s="47"/>
      <c r="W118" s="69"/>
      <c r="X118" s="69"/>
      <c r="Y118" s="47"/>
      <c r="Z118" s="47"/>
      <c r="AA118" s="1326"/>
      <c r="AB118" s="1326"/>
      <c r="AC118" s="1326"/>
      <c r="AD118" s="1326"/>
      <c r="AE118" s="1326"/>
      <c r="AF118" s="1326"/>
      <c r="AG118" s="1325"/>
      <c r="AH118" s="1306"/>
      <c r="AI118" s="1306"/>
      <c r="AJ118" s="1306"/>
    </row>
    <row r="119" spans="1:36">
      <c r="A119" s="216"/>
      <c r="B119" s="160"/>
      <c r="C119" s="595" t="s">
        <v>140</v>
      </c>
      <c r="D119" s="160"/>
      <c r="E119" s="955">
        <v>5.2979999999999998E-3</v>
      </c>
      <c r="F119" s="956">
        <v>8.7299999999999999E-3</v>
      </c>
      <c r="G119" s="956">
        <v>1.1819999999999999E-2</v>
      </c>
      <c r="H119" s="956">
        <v>1.5347999999999999E-2</v>
      </c>
      <c r="I119" s="956">
        <v>1.8461999999999999E-2</v>
      </c>
      <c r="J119" s="956">
        <v>2.1336000000000001E-2</v>
      </c>
      <c r="K119" s="956">
        <v>2.4839999999999997E-2</v>
      </c>
      <c r="L119" s="957">
        <v>2.9172E-2</v>
      </c>
      <c r="M119" s="958">
        <v>3.4661999999999998E-2</v>
      </c>
      <c r="N119" s="958">
        <v>4.0422E-2</v>
      </c>
      <c r="O119" s="958">
        <v>4.5725999999999996E-2</v>
      </c>
      <c r="P119" s="958">
        <v>5.0802000000000007E-2</v>
      </c>
      <c r="Q119" s="966">
        <v>5.5878000000000004E-2</v>
      </c>
      <c r="R119" s="640">
        <v>0.85</v>
      </c>
      <c r="T119" s="47"/>
      <c r="U119" s="47"/>
      <c r="V119" s="47"/>
      <c r="W119" s="69"/>
      <c r="X119" s="69"/>
      <c r="Y119" s="47"/>
      <c r="Z119" s="47"/>
      <c r="AA119" s="1326"/>
      <c r="AB119" s="1326"/>
      <c r="AC119" s="1326"/>
      <c r="AD119" s="1326"/>
      <c r="AE119" s="1326"/>
      <c r="AF119" s="1326"/>
      <c r="AG119" s="1325"/>
      <c r="AH119" s="1306"/>
      <c r="AI119" s="1306"/>
      <c r="AJ119" s="1306"/>
    </row>
    <row r="120" spans="1:36">
      <c r="A120" s="216"/>
      <c r="B120" s="160"/>
      <c r="C120" s="595" t="s">
        <v>171</v>
      </c>
      <c r="D120" s="160"/>
      <c r="E120" s="955">
        <v>8.375999999999998E-3</v>
      </c>
      <c r="F120" s="956">
        <v>1.2018000000000001E-2</v>
      </c>
      <c r="G120" s="956">
        <v>1.6907999999999999E-2</v>
      </c>
      <c r="H120" s="956">
        <v>2.1677999999999999E-2</v>
      </c>
      <c r="I120" s="956">
        <v>2.6405999999999999E-2</v>
      </c>
      <c r="J120" s="956">
        <v>3.2195999999999995E-2</v>
      </c>
      <c r="K120" s="956">
        <v>3.7434000000000002E-2</v>
      </c>
      <c r="L120" s="957">
        <v>4.2773999999999993E-2</v>
      </c>
      <c r="M120" s="958">
        <v>4.7334000000000001E-2</v>
      </c>
      <c r="N120" s="958">
        <v>5.0345999999999995E-2</v>
      </c>
      <c r="O120" s="958">
        <v>5.6417999999999996E-2</v>
      </c>
      <c r="P120" s="958">
        <v>6.3420000000000004E-2</v>
      </c>
      <c r="Q120" s="966">
        <v>6.8748000000000004E-2</v>
      </c>
      <c r="R120" s="640">
        <v>0.85</v>
      </c>
      <c r="T120" s="47"/>
      <c r="U120" s="47"/>
      <c r="V120" s="47"/>
      <c r="W120" s="69"/>
      <c r="X120" s="69"/>
      <c r="Y120" s="47"/>
      <c r="Z120" s="47"/>
      <c r="AA120" s="1326"/>
      <c r="AB120" s="1326"/>
      <c r="AC120" s="1326"/>
      <c r="AD120" s="1326"/>
      <c r="AE120" s="1326"/>
      <c r="AF120" s="1326"/>
      <c r="AG120" s="1325"/>
      <c r="AH120" s="1306"/>
      <c r="AI120" s="1306"/>
      <c r="AJ120" s="1306"/>
    </row>
    <row r="121" spans="1:36">
      <c r="A121" s="216"/>
      <c r="B121" s="160"/>
      <c r="C121" s="595" t="s">
        <v>148</v>
      </c>
      <c r="D121" s="160"/>
      <c r="E121" s="955">
        <v>2.1588E-2</v>
      </c>
      <c r="F121" s="956">
        <v>3.288E-2</v>
      </c>
      <c r="G121" s="956">
        <v>4.3529999999999999E-2</v>
      </c>
      <c r="H121" s="956">
        <v>5.4965999999999994E-2</v>
      </c>
      <c r="I121" s="956">
        <v>6.3941999999999999E-2</v>
      </c>
      <c r="J121" s="956">
        <v>7.0523999999999989E-2</v>
      </c>
      <c r="K121" s="956">
        <v>7.7075999999999992E-2</v>
      </c>
      <c r="L121" s="957">
        <v>8.4444000000000005E-2</v>
      </c>
      <c r="M121" s="958">
        <v>9.2069999999999999E-2</v>
      </c>
      <c r="N121" s="958">
        <v>0.10167</v>
      </c>
      <c r="O121" s="958">
        <v>0.10829399999999999</v>
      </c>
      <c r="P121" s="958">
        <v>0.11388</v>
      </c>
      <c r="Q121" s="966">
        <v>0.12297000000000001</v>
      </c>
      <c r="R121" s="640">
        <v>0.75</v>
      </c>
      <c r="T121" s="47"/>
      <c r="U121" s="47"/>
      <c r="V121" s="47"/>
      <c r="W121" s="69"/>
      <c r="X121" s="69"/>
      <c r="Y121" s="47"/>
      <c r="Z121" s="47"/>
      <c r="AA121" s="1326"/>
      <c r="AB121" s="1326"/>
      <c r="AC121" s="1326"/>
      <c r="AD121" s="1326"/>
      <c r="AE121" s="1326"/>
      <c r="AF121" s="1326"/>
      <c r="AG121" s="1325"/>
      <c r="AH121" s="1306"/>
      <c r="AI121" s="1306"/>
      <c r="AJ121" s="1306"/>
    </row>
    <row r="122" spans="1:36">
      <c r="A122" s="216"/>
      <c r="B122" s="160"/>
      <c r="C122" s="595" t="s">
        <v>349</v>
      </c>
      <c r="D122" s="160"/>
      <c r="E122" s="955">
        <v>2.3873999999999999E-2</v>
      </c>
      <c r="F122" s="956">
        <v>3.5604000000000004E-2</v>
      </c>
      <c r="G122" s="956">
        <v>4.6079999999999996E-2</v>
      </c>
      <c r="H122" s="956">
        <v>5.4288000000000003E-2</v>
      </c>
      <c r="I122" s="956">
        <v>6.2519999999999992E-2</v>
      </c>
      <c r="J122" s="956">
        <v>7.1795999999999985E-2</v>
      </c>
      <c r="K122" s="956">
        <v>8.0502000000000004E-2</v>
      </c>
      <c r="L122" s="957">
        <v>8.8481999999999991E-2</v>
      </c>
      <c r="M122" s="958">
        <v>9.9299999999999999E-2</v>
      </c>
      <c r="N122" s="958">
        <v>0.11093399999999999</v>
      </c>
      <c r="O122" s="958">
        <v>0.12316199999999999</v>
      </c>
      <c r="P122" s="958">
        <v>0.13480199999999998</v>
      </c>
      <c r="Q122" s="966">
        <v>0.14945399999999998</v>
      </c>
      <c r="R122" s="640">
        <v>0.75</v>
      </c>
      <c r="T122" s="47"/>
      <c r="U122" s="47"/>
      <c r="V122" s="47"/>
      <c r="W122" s="69"/>
      <c r="X122" s="69"/>
      <c r="Y122" s="47"/>
      <c r="Z122" s="47"/>
      <c r="AA122" s="1326"/>
      <c r="AB122" s="1326"/>
      <c r="AC122" s="1326"/>
      <c r="AD122" s="1326"/>
      <c r="AE122" s="1326"/>
      <c r="AF122" s="1326"/>
      <c r="AG122" s="1325"/>
      <c r="AH122" s="1306"/>
      <c r="AI122" s="1306"/>
      <c r="AJ122" s="1306"/>
    </row>
    <row r="123" spans="1:36">
      <c r="A123" s="216"/>
      <c r="B123" s="160"/>
      <c r="C123" s="595" t="s">
        <v>149</v>
      </c>
      <c r="D123" s="160"/>
      <c r="E123" s="955">
        <v>5.4042E-2</v>
      </c>
      <c r="F123" s="956">
        <v>7.8635999999999998E-2</v>
      </c>
      <c r="G123" s="956">
        <v>9.8184000000000007E-2</v>
      </c>
      <c r="H123" s="956">
        <v>0.11632800000000001</v>
      </c>
      <c r="I123" s="956">
        <v>0.13294799999999998</v>
      </c>
      <c r="J123" s="956">
        <v>0.14991599999999999</v>
      </c>
      <c r="K123" s="956">
        <v>0.16625999999999999</v>
      </c>
      <c r="L123" s="957">
        <v>0.182508</v>
      </c>
      <c r="M123" s="958">
        <v>0.19522199999999998</v>
      </c>
      <c r="N123" s="958">
        <v>0.20671199999999998</v>
      </c>
      <c r="O123" s="958">
        <v>0.21993599999999999</v>
      </c>
      <c r="P123" s="958">
        <v>0.23846400000000001</v>
      </c>
      <c r="Q123" s="966">
        <v>0.25164599999999998</v>
      </c>
      <c r="R123" s="640">
        <v>0.75</v>
      </c>
      <c r="T123" s="47"/>
      <c r="U123" s="47"/>
      <c r="V123" s="47"/>
      <c r="W123" s="69"/>
      <c r="X123" s="69"/>
      <c r="Y123" s="47"/>
      <c r="Z123" s="47"/>
      <c r="AA123" s="1326"/>
      <c r="AB123" s="1326"/>
      <c r="AC123" s="1326"/>
      <c r="AD123" s="1326"/>
      <c r="AE123" s="1326"/>
      <c r="AF123" s="1326"/>
      <c r="AG123" s="1325"/>
      <c r="AH123" s="1306"/>
      <c r="AI123" s="1306"/>
      <c r="AJ123" s="1306"/>
    </row>
    <row r="124" spans="1:36">
      <c r="A124" s="216"/>
      <c r="B124" s="160"/>
      <c r="C124" s="595" t="s">
        <v>141</v>
      </c>
      <c r="D124" s="160"/>
      <c r="E124" s="955">
        <v>6.7103999999999997E-2</v>
      </c>
      <c r="F124" s="956">
        <v>9.1661999999999993E-2</v>
      </c>
      <c r="G124" s="956">
        <v>0.116886</v>
      </c>
      <c r="H124" s="956">
        <v>0.14174999999999999</v>
      </c>
      <c r="I124" s="956">
        <v>0.16810199999999997</v>
      </c>
      <c r="J124" s="956">
        <v>0.19002000000000002</v>
      </c>
      <c r="K124" s="956">
        <v>0.209178</v>
      </c>
      <c r="L124" s="957">
        <v>0.227634</v>
      </c>
      <c r="M124" s="958">
        <v>0.24274799999999999</v>
      </c>
      <c r="N124" s="958">
        <v>0.25864199999999998</v>
      </c>
      <c r="O124" s="958">
        <v>0.27477599999999996</v>
      </c>
      <c r="P124" s="958">
        <v>0.291126</v>
      </c>
      <c r="Q124" s="966">
        <v>0.30029999999999996</v>
      </c>
      <c r="R124" s="640">
        <v>0.75</v>
      </c>
      <c r="T124" s="47"/>
      <c r="U124" s="47"/>
      <c r="V124" s="47"/>
      <c r="W124" s="69"/>
      <c r="X124" s="69"/>
      <c r="Y124" s="47"/>
      <c r="Z124" s="47"/>
      <c r="AA124" s="1326"/>
      <c r="AB124" s="1326"/>
      <c r="AC124" s="1326"/>
      <c r="AD124" s="1326"/>
      <c r="AE124" s="1326"/>
      <c r="AF124" s="1326"/>
      <c r="AG124" s="1325"/>
      <c r="AH124" s="1306"/>
      <c r="AI124" s="1306"/>
      <c r="AJ124" s="1306"/>
    </row>
    <row r="125" spans="1:36">
      <c r="A125" s="216"/>
      <c r="B125" s="160"/>
      <c r="C125" s="595" t="s">
        <v>150</v>
      </c>
      <c r="D125" s="160"/>
      <c r="E125" s="955">
        <v>8.8494000000000003E-2</v>
      </c>
      <c r="F125" s="956">
        <v>0.11900399999999998</v>
      </c>
      <c r="G125" s="956">
        <v>0.14521200000000001</v>
      </c>
      <c r="H125" s="956">
        <v>0.16969200000000001</v>
      </c>
      <c r="I125" s="956">
        <v>0.19164599999999998</v>
      </c>
      <c r="J125" s="956">
        <v>0.21069599999999997</v>
      </c>
      <c r="K125" s="956">
        <v>0.230022</v>
      </c>
      <c r="L125" s="957">
        <v>0.24579000000000001</v>
      </c>
      <c r="M125" s="958">
        <v>0.25759199999999999</v>
      </c>
      <c r="N125" s="958">
        <v>0.26609399999999994</v>
      </c>
      <c r="O125" s="958">
        <v>0.27526800000000001</v>
      </c>
      <c r="P125" s="958">
        <v>0.285912</v>
      </c>
      <c r="Q125" s="966">
        <v>0.30340199999999995</v>
      </c>
      <c r="R125" s="640">
        <v>0.75</v>
      </c>
      <c r="T125" s="47"/>
      <c r="U125" s="47"/>
      <c r="V125" s="47"/>
      <c r="W125" s="69"/>
      <c r="X125" s="69"/>
      <c r="Y125" s="47"/>
      <c r="Z125" s="47"/>
      <c r="AA125" s="1326"/>
      <c r="AB125" s="1326"/>
      <c r="AC125" s="1326"/>
      <c r="AD125" s="1326"/>
      <c r="AE125" s="1326"/>
      <c r="AF125" s="1326"/>
      <c r="AG125" s="1325"/>
      <c r="AH125" s="1306"/>
      <c r="AI125" s="1306"/>
      <c r="AJ125" s="1306"/>
    </row>
    <row r="126" spans="1:36" ht="13.5" thickBot="1">
      <c r="A126" s="216"/>
      <c r="B126" s="598"/>
      <c r="C126" s="596" t="s">
        <v>166</v>
      </c>
      <c r="D126" s="160"/>
      <c r="E126" s="959">
        <v>0.12728399999999998</v>
      </c>
      <c r="F126" s="960">
        <v>0.16400399999999998</v>
      </c>
      <c r="G126" s="960">
        <v>0.19636199999999995</v>
      </c>
      <c r="H126" s="960">
        <v>0.22632599999999997</v>
      </c>
      <c r="I126" s="960">
        <v>0.25067400000000001</v>
      </c>
      <c r="J126" s="960">
        <v>0.27195599999999998</v>
      </c>
      <c r="K126" s="960">
        <v>0.28700400000000004</v>
      </c>
      <c r="L126" s="961">
        <v>0.30083399999999999</v>
      </c>
      <c r="M126" s="962">
        <v>0.31490399999999996</v>
      </c>
      <c r="N126" s="962">
        <v>0.33036599999999999</v>
      </c>
      <c r="O126" s="962">
        <v>0.339198</v>
      </c>
      <c r="P126" s="962">
        <v>0.34679399999999999</v>
      </c>
      <c r="Q126" s="963">
        <v>0.35220000000000001</v>
      </c>
      <c r="R126" s="641">
        <v>0.75</v>
      </c>
      <c r="T126" s="47"/>
      <c r="U126" s="47"/>
      <c r="V126" s="47"/>
      <c r="W126" s="69"/>
      <c r="X126" s="69"/>
      <c r="Y126" s="47"/>
      <c r="Z126" s="47"/>
      <c r="AA126" s="1326"/>
      <c r="AB126" s="1326"/>
      <c r="AC126" s="1326"/>
      <c r="AD126" s="1326"/>
      <c r="AE126" s="1326"/>
      <c r="AF126" s="1326"/>
      <c r="AG126" s="1325"/>
      <c r="AH126" s="1306"/>
      <c r="AI126" s="1306"/>
      <c r="AJ126" s="1306"/>
    </row>
    <row r="127" spans="1:36">
      <c r="A127" s="216"/>
      <c r="B127" s="192"/>
      <c r="C127" s="192"/>
      <c r="D127" s="189"/>
      <c r="E127" s="161"/>
      <c r="F127" s="161"/>
      <c r="G127" s="178"/>
      <c r="H127" s="161"/>
      <c r="I127" s="161"/>
      <c r="J127" s="160"/>
      <c r="K127" s="161"/>
      <c r="L127" s="161"/>
      <c r="M127" s="178"/>
      <c r="N127" s="161"/>
      <c r="O127" s="161"/>
      <c r="P127" s="178"/>
      <c r="Q127" s="161"/>
      <c r="R127" s="161"/>
      <c r="T127" s="47"/>
      <c r="U127" s="47"/>
      <c r="V127" s="47"/>
      <c r="W127" s="69"/>
      <c r="X127" s="69"/>
      <c r="Y127" s="47"/>
      <c r="Z127" s="47"/>
      <c r="AA127" s="1326"/>
      <c r="AB127" s="1326"/>
      <c r="AC127" s="1326"/>
      <c r="AD127" s="1326"/>
      <c r="AE127" s="1326"/>
      <c r="AF127" s="1326"/>
      <c r="AG127" s="1325"/>
      <c r="AH127" s="1306"/>
      <c r="AI127" s="1306"/>
      <c r="AJ127" s="1306"/>
    </row>
    <row r="128" spans="1:36">
      <c r="A128" s="216"/>
      <c r="B128" s="126"/>
      <c r="C128" s="126"/>
      <c r="D128" s="661"/>
      <c r="E128" s="67"/>
      <c r="F128" s="67"/>
      <c r="G128" s="662"/>
      <c r="H128" s="67"/>
      <c r="I128" s="67"/>
      <c r="J128" s="662"/>
      <c r="K128" s="67"/>
      <c r="L128" s="67"/>
      <c r="M128" s="662"/>
      <c r="N128" s="67"/>
      <c r="O128" s="67"/>
      <c r="P128" s="662"/>
      <c r="Q128" s="67"/>
      <c r="R128" s="67"/>
      <c r="T128" s="47"/>
      <c r="U128" s="47"/>
      <c r="V128" s="47"/>
      <c r="W128" s="69"/>
      <c r="X128" s="69"/>
      <c r="Y128" s="47"/>
      <c r="Z128" s="47"/>
      <c r="AA128" s="1326"/>
      <c r="AB128" s="1326"/>
      <c r="AC128" s="1326"/>
      <c r="AD128" s="1326"/>
      <c r="AE128" s="1326"/>
      <c r="AF128" s="1326"/>
      <c r="AG128" s="1325"/>
      <c r="AH128" s="1306"/>
      <c r="AI128" s="1306"/>
      <c r="AJ128" s="1306"/>
    </row>
    <row r="129" spans="1:37" s="988" customFormat="1">
      <c r="A129" s="985"/>
      <c r="C129" s="987"/>
      <c r="I129" s="989"/>
      <c r="J129" s="989"/>
      <c r="K129" s="990"/>
      <c r="L129" s="991"/>
      <c r="M129" s="992"/>
      <c r="S129" s="1170"/>
      <c r="AK129" s="1323"/>
    </row>
  </sheetData>
  <mergeCells count="20">
    <mergeCell ref="B14:C14"/>
    <mergeCell ref="AA1:AD1"/>
    <mergeCell ref="AG1:AJ1"/>
    <mergeCell ref="AG10:AJ10"/>
    <mergeCell ref="B11:C11"/>
    <mergeCell ref="B12:C12"/>
    <mergeCell ref="B1:C1"/>
    <mergeCell ref="B3:C3"/>
    <mergeCell ref="B4:C4"/>
    <mergeCell ref="B5:C5"/>
    <mergeCell ref="B6:C6"/>
    <mergeCell ref="B7:C7"/>
    <mergeCell ref="B8:C8"/>
    <mergeCell ref="B9:C9"/>
    <mergeCell ref="B15:C15"/>
    <mergeCell ref="B16:C16"/>
    <mergeCell ref="B18:C18"/>
    <mergeCell ref="B40:C41"/>
    <mergeCell ref="B54:C54"/>
    <mergeCell ref="B19:C19"/>
  </mergeCells>
  <dataValidations count="4">
    <dataValidation type="list" allowBlank="1" showInputMessage="1" showErrorMessage="1" sqref="G2 J2 D2 M2 P2">
      <formula1>$E$58:$Q$58</formula1>
    </dataValidation>
    <dataValidation type="list" allowBlank="1" showInputMessage="1" showErrorMessage="1" sqref="D14:R14">
      <formula1>$C$68:$C$78</formula1>
    </dataValidation>
    <dataValidation type="list" allowBlank="1" showInputMessage="1" showErrorMessage="1" sqref="B20">
      <formula1>$A$40:$A$41</formula1>
    </dataValidation>
    <dataValidation type="list" allowBlank="1" showInputMessage="1" showErrorMessage="1" sqref="C24 C10">
      <formula1>$A$43:$A$45</formula1>
    </dataValidation>
  </dataValidations>
  <pageMargins left="0.78740157480314965" right="0.78740157480314965" top="0.98425196850393704" bottom="0.98425196850393704"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B387"/>
  <sheetViews>
    <sheetView showGridLines="0" topLeftCell="A9" zoomScale="90" zoomScaleNormal="90" workbookViewId="0">
      <pane xSplit="2" ySplit="1" topLeftCell="C10" activePane="bottomRight" state="frozen"/>
      <selection activeCell="A8" sqref="A8"/>
      <selection pane="topRight" activeCell="A8" sqref="A8"/>
      <selection pane="bottomLeft" activeCell="A8" sqref="A8"/>
      <selection pane="bottomRight" activeCell="F50" sqref="F50"/>
    </sheetView>
  </sheetViews>
  <sheetFormatPr defaultColWidth="11.5703125" defaultRowHeight="12.75"/>
  <cols>
    <col min="1" max="1" width="22" style="931" customWidth="1"/>
    <col min="2" max="2" width="13.42578125" style="931" customWidth="1"/>
    <col min="3" max="3" width="13" style="931" customWidth="1"/>
    <col min="4" max="4" width="12" style="931" bestFit="1" customWidth="1"/>
    <col min="5" max="5" width="11.5703125" style="931" customWidth="1"/>
    <col min="6" max="6" width="11.5703125" style="931"/>
    <col min="7" max="7" width="12" style="931" bestFit="1" customWidth="1"/>
    <col min="8" max="8" width="11.5703125" style="931"/>
    <col min="9" max="9" width="12" style="931" bestFit="1" customWidth="1"/>
    <col min="10" max="11" width="11.5703125" style="931"/>
    <col min="12" max="12" width="1.7109375" style="931" customWidth="1"/>
    <col min="13" max="13" width="6.28515625" style="931" bestFit="1" customWidth="1"/>
    <col min="14" max="14" width="6.42578125" style="931" bestFit="1" customWidth="1"/>
    <col min="15" max="15" width="7" style="931" bestFit="1" customWidth="1"/>
    <col min="16" max="16" width="9.28515625" style="931" bestFit="1" customWidth="1"/>
    <col min="17" max="17" width="8.85546875" style="931" customWidth="1"/>
    <col min="18" max="18" width="6.7109375" style="931" customWidth="1"/>
    <col min="19" max="19" width="6.7109375" style="231" customWidth="1"/>
    <col min="20" max="20" width="6.7109375" style="931" customWidth="1"/>
    <col min="21" max="21" width="6.7109375" style="231" customWidth="1"/>
    <col min="22" max="28" width="6.7109375" style="931" customWidth="1"/>
    <col min="29" max="16384" width="11.5703125" style="931"/>
  </cols>
  <sheetData>
    <row r="1" spans="1:28">
      <c r="A1" s="452"/>
      <c r="B1" s="452"/>
      <c r="C1" s="452"/>
      <c r="D1" s="452"/>
      <c r="E1" s="452"/>
      <c r="F1" s="452"/>
      <c r="G1" s="452"/>
      <c r="H1" s="452"/>
      <c r="I1" s="452"/>
      <c r="J1" s="452"/>
      <c r="K1" s="452"/>
      <c r="S1"/>
      <c r="U1"/>
    </row>
    <row r="2" spans="1:28">
      <c r="A2" s="452"/>
      <c r="B2" s="452"/>
      <c r="C2" s="452"/>
      <c r="D2" s="452"/>
      <c r="E2" s="452"/>
      <c r="F2" s="452"/>
      <c r="G2" s="452"/>
      <c r="H2" s="452"/>
      <c r="I2" s="452"/>
      <c r="J2" s="452"/>
      <c r="K2" s="452"/>
      <c r="S2"/>
      <c r="U2"/>
    </row>
    <row r="3" spans="1:28">
      <c r="A3" s="452"/>
      <c r="B3" s="452"/>
      <c r="C3" s="452"/>
      <c r="D3" s="452"/>
      <c r="E3" s="452"/>
      <c r="F3" s="452"/>
      <c r="G3" s="452"/>
      <c r="H3" s="452"/>
      <c r="I3" s="452"/>
      <c r="J3" s="452"/>
      <c r="K3" s="452"/>
      <c r="S3"/>
      <c r="U3"/>
    </row>
    <row r="4" spans="1:28">
      <c r="A4" s="452"/>
      <c r="B4" s="452"/>
      <c r="C4" s="452"/>
      <c r="D4" s="452"/>
      <c r="E4" s="452"/>
      <c r="F4" s="452"/>
      <c r="G4" s="452"/>
      <c r="H4" s="452"/>
      <c r="I4" s="452"/>
      <c r="J4" s="452"/>
      <c r="K4" s="452"/>
      <c r="S4"/>
      <c r="U4"/>
    </row>
    <row r="5" spans="1:28">
      <c r="A5" s="452"/>
      <c r="B5" s="452"/>
      <c r="C5" s="452"/>
      <c r="D5" s="452"/>
      <c r="E5" s="452"/>
      <c r="F5" s="452"/>
      <c r="G5" s="452"/>
      <c r="H5" s="452"/>
      <c r="I5" s="452"/>
      <c r="J5" s="452"/>
      <c r="K5" s="452"/>
      <c r="S5"/>
      <c r="U5"/>
    </row>
    <row r="6" spans="1:28">
      <c r="A6" s="452"/>
      <c r="B6" s="452"/>
      <c r="C6" s="452"/>
      <c r="D6" s="452"/>
      <c r="E6" s="452"/>
      <c r="F6" s="452"/>
      <c r="G6" s="452"/>
      <c r="H6" s="452"/>
      <c r="I6" s="452"/>
      <c r="J6" s="452"/>
      <c r="K6" s="452"/>
      <c r="S6"/>
      <c r="U6"/>
    </row>
    <row r="7" spans="1:28">
      <c r="A7" s="452"/>
      <c r="B7" s="452"/>
      <c r="C7" s="452"/>
      <c r="D7" s="452"/>
      <c r="E7" s="452"/>
      <c r="F7" s="452"/>
      <c r="G7" s="452"/>
      <c r="H7" s="452"/>
      <c r="I7" s="452"/>
      <c r="J7" s="452"/>
      <c r="K7" s="452"/>
      <c r="S7"/>
      <c r="U7"/>
    </row>
    <row r="8" spans="1:28">
      <c r="A8" s="452"/>
      <c r="B8" s="452"/>
      <c r="C8" s="452"/>
      <c r="D8" s="452"/>
      <c r="E8" s="452"/>
      <c r="F8" s="452"/>
      <c r="G8" s="452"/>
      <c r="H8" s="452"/>
      <c r="I8" s="452"/>
      <c r="J8" s="452"/>
      <c r="K8" s="1033"/>
      <c r="M8" s="467"/>
      <c r="N8" s="1256"/>
      <c r="O8" s="467"/>
      <c r="P8" s="1256"/>
      <c r="Q8" s="466"/>
      <c r="R8" s="1256"/>
      <c r="S8"/>
      <c r="U8"/>
    </row>
    <row r="9" spans="1:28">
      <c r="A9" s="436" t="s">
        <v>503</v>
      </c>
      <c r="B9" s="436"/>
      <c r="C9" s="466"/>
      <c r="D9" s="1256"/>
      <c r="E9" s="467"/>
      <c r="F9" s="455"/>
      <c r="G9" s="455"/>
      <c r="H9" s="455"/>
      <c r="I9" s="455"/>
      <c r="J9" s="455"/>
      <c r="K9" s="455"/>
      <c r="M9" s="1733" t="s">
        <v>613</v>
      </c>
      <c r="N9" s="1733"/>
      <c r="O9" s="1733"/>
      <c r="P9" s="1733"/>
      <c r="Q9" s="1733"/>
      <c r="R9" s="1766" t="s">
        <v>614</v>
      </c>
      <c r="S9" s="1767"/>
      <c r="T9" s="1768"/>
      <c r="U9" s="1769"/>
      <c r="V9" s="1769"/>
      <c r="W9" s="1769"/>
      <c r="X9" s="1769"/>
      <c r="Y9" s="1769"/>
      <c r="Z9" s="1769"/>
      <c r="AA9" s="1769"/>
      <c r="AB9" s="1769"/>
    </row>
    <row r="10" spans="1:28">
      <c r="A10" s="1033"/>
      <c r="B10" s="1033"/>
      <c r="C10" s="1033"/>
      <c r="D10" s="1033"/>
      <c r="E10" s="1033"/>
      <c r="F10" s="1033"/>
      <c r="G10" s="1033"/>
      <c r="H10" s="1033"/>
      <c r="I10" s="1033"/>
      <c r="J10" s="1033"/>
      <c r="K10" s="1033"/>
    </row>
    <row r="11" spans="1:28">
      <c r="A11" s="1033"/>
      <c r="B11" s="1033"/>
      <c r="C11" s="1033"/>
      <c r="D11" s="1033"/>
      <c r="E11" s="1033"/>
      <c r="F11" s="1033"/>
      <c r="G11" s="1033"/>
      <c r="H11" s="1033"/>
      <c r="I11" s="1033"/>
      <c r="J11" s="1033"/>
      <c r="K11" s="1033"/>
    </row>
    <row r="12" spans="1:28" s="1364" customFormat="1" ht="13.5" thickBot="1">
      <c r="A12" s="456" t="s">
        <v>504</v>
      </c>
      <c r="B12" s="456"/>
      <c r="C12" s="885"/>
      <c r="D12" s="457"/>
      <c r="E12" s="457"/>
      <c r="F12" s="457"/>
      <c r="G12" s="457"/>
      <c r="H12" s="457"/>
      <c r="I12" s="457"/>
      <c r="J12" s="457"/>
      <c r="K12" s="457"/>
      <c r="M12" s="1728">
        <v>2010</v>
      </c>
      <c r="N12" s="1729" t="s">
        <v>168</v>
      </c>
      <c r="O12" s="1730" t="s">
        <v>137</v>
      </c>
      <c r="P12" s="1730" t="s">
        <v>3</v>
      </c>
      <c r="Q12" s="1730" t="s">
        <v>2</v>
      </c>
      <c r="R12" s="1729" t="s">
        <v>76</v>
      </c>
      <c r="S12" s="1740"/>
      <c r="T12" s="1362"/>
      <c r="V12" s="1362"/>
      <c r="W12" s="1362"/>
      <c r="X12" s="1362"/>
      <c r="Y12" s="1362"/>
      <c r="Z12" s="1362"/>
      <c r="AA12" s="1362"/>
      <c r="AB12" s="1362"/>
    </row>
    <row r="13" spans="1:28" s="1364" customFormat="1">
      <c r="A13" s="460"/>
      <c r="B13" s="460"/>
      <c r="C13" s="458"/>
      <c r="D13" s="458"/>
      <c r="E13" s="458"/>
      <c r="F13" s="458"/>
      <c r="G13" s="458"/>
      <c r="H13" s="458"/>
      <c r="I13" s="458"/>
      <c r="J13" s="458"/>
      <c r="K13" s="458"/>
      <c r="M13" s="1735" t="s">
        <v>147</v>
      </c>
      <c r="N13" s="1737">
        <f>'FINAL BIPT &amp; Cullen 2014'!V23</f>
        <v>0.83333333333333337</v>
      </c>
      <c r="O13" s="1734"/>
      <c r="P13" s="1734">
        <f>'FINAL BIPT &amp; Cullen 2014'!U23</f>
        <v>0.76470588235294124</v>
      </c>
      <c r="Q13" s="1734">
        <f>'FINAL BIPT &amp; Cullen 2014'!X23</f>
        <v>0.7466666666666667</v>
      </c>
      <c r="R13" s="1734">
        <f>'FINAL BIPT &amp; Cullen 2014'!Y23</f>
        <v>0.73333333333333339</v>
      </c>
      <c r="S13" s="1743" t="s">
        <v>132</v>
      </c>
      <c r="T13" s="1362"/>
      <c r="V13" s="1362"/>
      <c r="W13" s="1362"/>
      <c r="X13" s="1362"/>
      <c r="Y13" s="1362"/>
      <c r="Z13" s="1362"/>
      <c r="AA13" s="1362"/>
      <c r="AB13" s="1362"/>
    </row>
    <row r="14" spans="1:28" s="1364" customFormat="1">
      <c r="A14" s="1361"/>
      <c r="B14" s="1361"/>
      <c r="C14" s="1362"/>
      <c r="D14" s="1362"/>
      <c r="E14" s="1362"/>
      <c r="L14" s="1361"/>
      <c r="M14" s="1735" t="s">
        <v>172</v>
      </c>
      <c r="N14" s="1738">
        <f>'FINAL BIPT &amp; Cullen 2014'!V11</f>
        <v>0.4</v>
      </c>
      <c r="O14" s="1732"/>
      <c r="P14" s="1731">
        <f>'FINAL BIPT &amp; Cullen 2014'!U11</f>
        <v>0.32</v>
      </c>
      <c r="Q14" s="1731">
        <f>'FINAL BIPT &amp; Cullen 2014'!X11</f>
        <v>0.25</v>
      </c>
      <c r="R14" s="1731">
        <f>'FINAL BIPT &amp; Cullen 2014'!Y11</f>
        <v>0.25</v>
      </c>
      <c r="S14" s="1749">
        <f>'FINAL BIPT &amp; Cullen 2014'!U5</f>
        <v>5.2499999999999998E-2</v>
      </c>
      <c r="T14" s="1362"/>
      <c r="V14" s="1362"/>
      <c r="W14" s="1362"/>
      <c r="X14" s="1362"/>
      <c r="Y14" s="1362"/>
      <c r="Z14" s="1362"/>
      <c r="AA14" s="1362"/>
      <c r="AB14" s="1362"/>
    </row>
    <row r="15" spans="1:28" s="1364" customFormat="1">
      <c r="A15" s="1371" t="s">
        <v>505</v>
      </c>
      <c r="B15" s="1372"/>
      <c r="C15" s="458"/>
      <c r="D15" s="458"/>
      <c r="E15" s="458"/>
      <c r="F15" s="458"/>
      <c r="G15" s="458"/>
      <c r="H15" s="460"/>
      <c r="I15" s="460"/>
      <c r="J15" s="460"/>
      <c r="K15" s="460"/>
      <c r="L15" s="1361"/>
      <c r="M15" s="1736" t="s">
        <v>257</v>
      </c>
      <c r="N15" s="1744" t="str">
        <f>'FINAL BIPT &amp; Cullen 2014'!V14</f>
        <v>BBB+</v>
      </c>
      <c r="O15" s="1742"/>
      <c r="P15" s="1742" t="str">
        <f>'FINAL BIPT &amp; Cullen 2014'!U14</f>
        <v>A</v>
      </c>
      <c r="Q15" s="1742" t="str">
        <f>'FINAL BIPT &amp; Cullen 2014'!X14</f>
        <v>A-</v>
      </c>
      <c r="R15" s="1742" t="str">
        <f>'FINAL BIPT &amp; Cullen 2014'!Y14</f>
        <v>A-</v>
      </c>
      <c r="S15" s="1745" t="s">
        <v>0</v>
      </c>
      <c r="T15" s="1362"/>
      <c r="V15" s="1362"/>
      <c r="W15" s="1362"/>
      <c r="X15" s="1362"/>
      <c r="Y15" s="1362"/>
      <c r="Z15" s="1362"/>
      <c r="AA15" s="1362"/>
      <c r="AB15" s="1362"/>
    </row>
    <row r="16" spans="1:28" s="1364" customFormat="1" ht="13.5" thickBot="1">
      <c r="A16" s="460"/>
      <c r="B16" s="460"/>
      <c r="C16" s="458"/>
      <c r="D16" s="458"/>
      <c r="E16" s="458"/>
      <c r="F16" s="458"/>
      <c r="G16" s="458"/>
      <c r="H16" s="460"/>
      <c r="I16" s="460"/>
      <c r="J16" s="460"/>
      <c r="K16" s="460"/>
      <c r="L16" s="1361"/>
      <c r="M16" s="1741" t="s">
        <v>359</v>
      </c>
      <c r="N16" s="1746">
        <f>'FINAL BIPT &amp; Cullen 2014'!V15</f>
        <v>1.4999999999999999E-2</v>
      </c>
      <c r="O16" s="1747"/>
      <c r="P16" s="1747">
        <f>'FINAL BIPT &amp; Cullen 2014'!U15</f>
        <v>1.2999999999999999E-2</v>
      </c>
      <c r="Q16" s="1747">
        <f>'FINAL BIPT &amp; Cullen 2014'!X15</f>
        <v>1.2999999999999999E-2</v>
      </c>
      <c r="R16" s="1747">
        <f>'FINAL BIPT &amp; Cullen 2014'!Y15</f>
        <v>1.2999999999999999E-2</v>
      </c>
      <c r="S16" s="1748">
        <f>'FINAL BIPT &amp; Cullen 2014'!U3</f>
        <v>0.04</v>
      </c>
      <c r="T16" s="1362"/>
      <c r="V16" s="1362"/>
      <c r="W16" s="1362"/>
      <c r="X16" s="1362"/>
      <c r="Y16" s="1362"/>
      <c r="Z16" s="1362"/>
      <c r="AA16" s="1362"/>
      <c r="AB16" s="1362"/>
    </row>
    <row r="17" spans="1:28" s="1364" customFormat="1" ht="14.25">
      <c r="A17" s="462" t="s">
        <v>386</v>
      </c>
      <c r="B17" s="462"/>
      <c r="C17" s="461" t="s">
        <v>537</v>
      </c>
      <c r="D17" s="461"/>
      <c r="E17" s="458"/>
      <c r="F17" s="458"/>
      <c r="G17" s="458"/>
      <c r="H17" s="460"/>
      <c r="I17" s="460"/>
      <c r="J17" s="459"/>
      <c r="K17" s="460"/>
      <c r="L17" s="1361"/>
      <c r="M17" s="1388"/>
      <c r="N17" s="1388"/>
      <c r="O17" s="1363"/>
      <c r="P17" s="1362"/>
      <c r="Q17" s="1362"/>
      <c r="R17" s="1362"/>
      <c r="T17" s="1362"/>
      <c r="V17" s="1362"/>
      <c r="W17" s="1362"/>
      <c r="X17" s="1362"/>
      <c r="Y17" s="1362"/>
      <c r="Z17" s="1362"/>
      <c r="AA17" s="1362"/>
      <c r="AB17" s="1362"/>
    </row>
    <row r="18" spans="1:28" s="1364" customFormat="1">
      <c r="A18" s="460"/>
      <c r="B18" s="460"/>
      <c r="C18" s="458"/>
      <c r="D18" s="458"/>
      <c r="E18" s="458"/>
      <c r="F18" s="458"/>
      <c r="G18" s="458"/>
      <c r="H18" s="460"/>
      <c r="I18" s="460"/>
      <c r="J18" s="460"/>
      <c r="K18" s="460"/>
      <c r="L18" s="1361"/>
      <c r="T18" s="1362"/>
      <c r="V18" s="1362"/>
      <c r="W18" s="1362"/>
      <c r="X18" s="1362"/>
      <c r="Y18" s="1362"/>
      <c r="Z18" s="1362"/>
      <c r="AA18" s="1362"/>
      <c r="AB18" s="1362"/>
    </row>
    <row r="19" spans="1:28" s="1364" customFormat="1">
      <c r="A19" s="1232"/>
      <c r="B19" s="1233"/>
      <c r="C19" s="1234" t="s">
        <v>331</v>
      </c>
      <c r="D19" s="1234" t="s">
        <v>76</v>
      </c>
      <c r="E19" s="1235" t="s">
        <v>494</v>
      </c>
      <c r="F19" s="1235" t="s">
        <v>495</v>
      </c>
      <c r="G19" s="1236" t="s">
        <v>3</v>
      </c>
      <c r="H19" s="1236" t="s">
        <v>2</v>
      </c>
      <c r="I19" s="1236" t="s">
        <v>137</v>
      </c>
      <c r="J19" s="460"/>
      <c r="K19" s="459"/>
      <c r="T19" s="1362"/>
      <c r="V19" s="1362"/>
      <c r="W19" s="1362"/>
      <c r="X19" s="1362"/>
      <c r="Y19" s="1362"/>
      <c r="Z19" s="1362"/>
      <c r="AA19" s="1362"/>
      <c r="AB19" s="1362"/>
    </row>
    <row r="20" spans="1:28" s="1364" customFormat="1" ht="15">
      <c r="A20" s="1859" t="s">
        <v>344</v>
      </c>
      <c r="B20" s="1859"/>
      <c r="C20" s="1237">
        <f>C118</f>
        <v>8.3234621766303626E-2</v>
      </c>
      <c r="D20" s="1237">
        <f>J118</f>
        <v>8.4153230361328463E-2</v>
      </c>
      <c r="E20" s="1238">
        <f>D20-C20</f>
        <v>9.1860859502483627E-4</v>
      </c>
      <c r="F20" s="1239">
        <f t="shared" ref="F20:F26" si="0">AVERAGE(C20:D20)</f>
        <v>8.3693926063816038E-2</v>
      </c>
      <c r="G20" s="1240">
        <f>F118</f>
        <v>7.5561599515164946E-2</v>
      </c>
      <c r="H20" s="1240">
        <f>H118</f>
        <v>8.4153230361328463E-2</v>
      </c>
      <c r="I20" s="1240">
        <f>E118</f>
        <v>9.4865666777512681E-2</v>
      </c>
      <c r="J20" s="459"/>
      <c r="K20" s="903"/>
      <c r="L20" s="1380"/>
      <c r="T20" s="1362"/>
      <c r="V20" s="1362"/>
      <c r="W20" s="1362"/>
      <c r="X20" s="1362"/>
      <c r="Y20" s="1362"/>
      <c r="Z20" s="1362"/>
      <c r="AA20" s="1362"/>
      <c r="AB20" s="1362"/>
    </row>
    <row r="21" spans="1:28" s="1364" customFormat="1" ht="15">
      <c r="A21" s="1856" t="s">
        <v>404</v>
      </c>
      <c r="B21" s="1856"/>
      <c r="C21" s="1241">
        <f>C118-D118</f>
        <v>-1.5690207804973447E-2</v>
      </c>
      <c r="D21" s="1241">
        <f>J118-K118</f>
        <v>-1.8787801300540946E-2</v>
      </c>
      <c r="E21" s="1242">
        <f>D21-C21</f>
        <v>-3.0975934955674994E-3</v>
      </c>
      <c r="F21" s="1243">
        <f t="shared" si="0"/>
        <v>-1.7239004552757196E-2</v>
      </c>
      <c r="G21" s="1241">
        <f>F118-G118</f>
        <v>-2.4601648477563423E-2</v>
      </c>
      <c r="H21" s="1241">
        <f>H118-I118</f>
        <v>-1.9583135340837873E-2</v>
      </c>
      <c r="I21" s="1210"/>
      <c r="J21" s="459"/>
      <c r="K21" s="903"/>
      <c r="L21" s="1380"/>
      <c r="M21" s="1388"/>
      <c r="N21" s="1388"/>
      <c r="O21" s="1363"/>
      <c r="P21" s="1362"/>
      <c r="Q21" s="1362"/>
      <c r="R21" s="1362"/>
      <c r="T21" s="1362"/>
      <c r="V21" s="1362"/>
      <c r="W21" s="1362"/>
      <c r="X21" s="1362"/>
      <c r="Y21" s="1362"/>
      <c r="Z21" s="1362"/>
      <c r="AA21" s="1362"/>
      <c r="AB21" s="1362"/>
    </row>
    <row r="22" spans="1:28" s="1364" customFormat="1" ht="15">
      <c r="A22" s="1860" t="s">
        <v>345</v>
      </c>
      <c r="B22" s="1860"/>
      <c r="C22" s="1247">
        <f>C120</f>
        <v>8.1349159833066037E-2</v>
      </c>
      <c r="D22" s="1247">
        <f>J120</f>
        <v>8.1314444978701092E-2</v>
      </c>
      <c r="E22" s="1254">
        <f>D22-C22</f>
        <v>-3.4714854364945036E-5</v>
      </c>
      <c r="F22" s="1255">
        <f t="shared" si="0"/>
        <v>8.1331802405883558E-2</v>
      </c>
      <c r="G22" s="1240">
        <f>F120</f>
        <v>7.3676137581927356E-2</v>
      </c>
      <c r="H22" s="1240">
        <f>H120</f>
        <v>8.1314444978701092E-2</v>
      </c>
      <c r="I22" s="1240">
        <f>E120</f>
        <v>9.3705382510904933E-2</v>
      </c>
      <c r="J22" s="442"/>
      <c r="K22" s="903"/>
      <c r="L22" s="1380"/>
      <c r="M22" s="1388"/>
      <c r="N22" s="1388"/>
      <c r="O22" s="1363"/>
      <c r="P22" s="1362"/>
      <c r="Q22" s="1362"/>
      <c r="R22" s="1362"/>
      <c r="T22" s="1362"/>
      <c r="V22" s="1362"/>
      <c r="W22" s="1362"/>
      <c r="X22" s="1362"/>
      <c r="Y22" s="1362"/>
      <c r="Z22" s="1362"/>
      <c r="AA22" s="1362"/>
      <c r="AB22" s="1362"/>
    </row>
    <row r="23" spans="1:28" s="1364" customFormat="1">
      <c r="A23" s="1861" t="s">
        <v>404</v>
      </c>
      <c r="B23" s="1861"/>
      <c r="C23" s="1404">
        <f>C121</f>
        <v>-1.4772625966106789E-2</v>
      </c>
      <c r="D23" s="1404">
        <f>J121</f>
        <v>-1.9177272361791411E-2</v>
      </c>
      <c r="E23" s="1244">
        <f>D23-C23</f>
        <v>-4.4046463956846221E-3</v>
      </c>
      <c r="F23" s="1245">
        <f t="shared" si="0"/>
        <v>-1.69749491639491E-2</v>
      </c>
      <c r="G23" s="1241">
        <f>F121</f>
        <v>-2.3310327469082875E-2</v>
      </c>
      <c r="H23" s="1241">
        <f>H121</f>
        <v>-1.9972606402088339E-2</v>
      </c>
      <c r="I23" s="1246"/>
      <c r="J23" s="442"/>
      <c r="K23" s="459"/>
      <c r="R23" s="1362"/>
      <c r="T23" s="1362"/>
      <c r="V23" s="1362"/>
      <c r="W23" s="1362"/>
      <c r="X23" s="1362"/>
      <c r="Y23" s="1362"/>
      <c r="Z23" s="1362"/>
      <c r="AA23" s="1362"/>
      <c r="AB23" s="1362"/>
    </row>
    <row r="24" spans="1:28" s="1364" customFormat="1" ht="15">
      <c r="A24" s="1859" t="s">
        <v>332</v>
      </c>
      <c r="B24" s="1859"/>
      <c r="C24" s="1237">
        <f>'FINAL BIPT &amp; Cullen 2014'!V38</f>
        <v>9.6121785799172826E-2</v>
      </c>
      <c r="D24" s="1237">
        <f>'FINAL BIPT &amp; Cullen 2014'!Y38</f>
        <v>0.1004917173404925</v>
      </c>
      <c r="E24" s="1238">
        <f>D24-C24</f>
        <v>4.3699315413196771E-3</v>
      </c>
      <c r="F24" s="1239">
        <f t="shared" si="0"/>
        <v>9.8306751569832665E-2</v>
      </c>
      <c r="G24" s="1240">
        <f>'FINAL BIPT &amp; Cullen 2014'!U38</f>
        <v>9.6986465051010232E-2</v>
      </c>
      <c r="H24" s="1240">
        <f>'FINAL BIPT &amp; Cullen 2014'!X38</f>
        <v>0.10128705138078943</v>
      </c>
      <c r="I24" s="1240"/>
      <c r="J24" s="442"/>
      <c r="K24" s="903"/>
      <c r="L24" s="1380"/>
      <c r="M24" s="1388"/>
      <c r="N24" s="1388"/>
      <c r="O24" s="1363"/>
      <c r="P24" s="1362"/>
      <c r="Q24" s="1362"/>
      <c r="R24" s="1362"/>
      <c r="T24" s="1362"/>
      <c r="V24" s="1362"/>
      <c r="W24" s="1362"/>
      <c r="X24" s="1362"/>
      <c r="Y24" s="1362"/>
      <c r="Z24" s="1362"/>
      <c r="AA24" s="1362"/>
      <c r="AB24" s="1362"/>
    </row>
    <row r="25" spans="1:28" s="1364" customFormat="1" ht="15">
      <c r="A25" s="1856" t="s">
        <v>387</v>
      </c>
      <c r="B25" s="1856"/>
      <c r="C25" s="1241">
        <f>C24-C26</f>
        <v>-1.5878214200827176E-2</v>
      </c>
      <c r="D25" s="1241">
        <f>'INDEX-SUMMARY'!H20</f>
        <v>-2.1899999999999989E-2</v>
      </c>
      <c r="E25" s="1243">
        <f>'INDEX-SUMMARY'!I20</f>
        <v>-6.0300684586803155E-3</v>
      </c>
      <c r="F25" s="1243">
        <f t="shared" si="0"/>
        <v>-1.8889107100413582E-2</v>
      </c>
      <c r="G25" s="1248"/>
      <c r="H25" s="1248"/>
      <c r="I25" s="1249"/>
      <c r="J25" s="442"/>
      <c r="K25" s="904"/>
      <c r="L25" s="1381"/>
      <c r="M25" s="1389"/>
      <c r="N25" s="1389"/>
      <c r="O25" s="1363"/>
      <c r="P25" s="1362"/>
      <c r="Q25" s="1362"/>
      <c r="R25" s="1362"/>
      <c r="T25" s="1362"/>
      <c r="V25" s="1362"/>
      <c r="W25" s="1362"/>
      <c r="X25" s="1362"/>
      <c r="Y25" s="1362"/>
      <c r="Z25" s="1362"/>
      <c r="AA25" s="1362"/>
      <c r="AB25" s="1362"/>
    </row>
    <row r="26" spans="1:28" s="1364" customFormat="1" ht="15">
      <c r="A26" s="1857" t="s">
        <v>496</v>
      </c>
      <c r="B26" s="1857"/>
      <c r="C26" s="1250">
        <f>'(Cullen 2010 Fixed)'!B18</f>
        <v>0.112</v>
      </c>
      <c r="D26" s="1250">
        <f>'(Cullen 2010 Mobile)'!M16</f>
        <v>0.12239999999999999</v>
      </c>
      <c r="E26" s="1251">
        <f>'(Cullen 2010 Mobile)'!B11-'(Cullen 2010 Fixed)'!B18</f>
        <v>1.0399999999999993E-2</v>
      </c>
      <c r="F26" s="1251">
        <f t="shared" si="0"/>
        <v>0.1172</v>
      </c>
      <c r="G26" s="1252"/>
      <c r="H26" s="1253"/>
      <c r="I26" s="1253"/>
      <c r="J26" s="442"/>
      <c r="K26" s="905"/>
      <c r="L26" s="1382"/>
      <c r="M26" s="1381"/>
      <c r="N26" s="1389"/>
      <c r="O26" s="1363"/>
      <c r="P26" s="1362"/>
      <c r="Q26" s="1362"/>
      <c r="R26" s="1362"/>
      <c r="T26" s="1362"/>
      <c r="V26" s="1362"/>
      <c r="W26" s="1362"/>
      <c r="X26" s="1362"/>
      <c r="Y26" s="1362"/>
      <c r="Z26" s="1362"/>
      <c r="AA26" s="1362"/>
      <c r="AB26" s="1362"/>
    </row>
    <row r="27" spans="1:28" s="1364" customFormat="1">
      <c r="A27" s="459"/>
      <c r="B27" s="459"/>
      <c r="C27" s="459"/>
      <c r="D27" s="459"/>
      <c r="E27" s="459"/>
      <c r="F27" s="459"/>
      <c r="G27" s="459"/>
      <c r="H27" s="459"/>
      <c r="I27" s="442"/>
      <c r="J27" s="442"/>
      <c r="K27" s="442"/>
      <c r="L27" s="1361"/>
      <c r="M27" s="1361"/>
      <c r="N27" s="1362"/>
      <c r="O27" s="1362"/>
      <c r="P27" s="1362"/>
      <c r="Q27" s="1362"/>
      <c r="R27" s="1362"/>
      <c r="T27" s="1362"/>
      <c r="V27" s="1362"/>
      <c r="W27" s="1362"/>
      <c r="X27" s="1362"/>
      <c r="Y27" s="1362"/>
      <c r="Z27" s="1362"/>
      <c r="AA27" s="1362"/>
      <c r="AB27" s="1362"/>
    </row>
    <row r="28" spans="1:28" s="1364" customFormat="1">
      <c r="A28" s="1646"/>
      <c r="B28" s="1035"/>
      <c r="C28" s="459"/>
      <c r="D28" s="459"/>
      <c r="E28" s="459"/>
      <c r="F28" s="459"/>
      <c r="G28" s="459"/>
      <c r="H28" s="1634"/>
      <c r="I28" s="442"/>
      <c r="J28" s="442"/>
      <c r="K28" s="442"/>
      <c r="L28" s="1361"/>
      <c r="M28" s="1361"/>
      <c r="N28" s="1362"/>
      <c r="O28" s="1362"/>
      <c r="P28" s="1362"/>
      <c r="Q28" s="1362"/>
      <c r="R28" s="1362"/>
      <c r="T28" s="1362"/>
      <c r="V28" s="1362"/>
      <c r="W28" s="1362"/>
      <c r="X28" s="1362"/>
      <c r="Y28" s="1362"/>
      <c r="Z28" s="1362"/>
      <c r="AA28" s="1362"/>
      <c r="AB28" s="1362"/>
    </row>
    <row r="29" spans="1:28" s="1364" customFormat="1">
      <c r="A29" s="458"/>
      <c r="B29" s="459"/>
      <c r="C29" s="1461" t="s">
        <v>574</v>
      </c>
      <c r="D29" s="1460"/>
      <c r="E29" s="1647"/>
      <c r="F29" s="1531"/>
      <c r="G29" s="1460"/>
      <c r="H29" s="1460"/>
      <c r="I29" s="442"/>
      <c r="J29" s="442"/>
      <c r="K29" s="442"/>
      <c r="L29" s="1361"/>
      <c r="M29" s="1361"/>
      <c r="N29" s="1362"/>
      <c r="O29" s="1362"/>
      <c r="P29" s="1362"/>
      <c r="Q29" s="1362"/>
      <c r="R29" s="1362"/>
      <c r="T29" s="1362"/>
      <c r="V29" s="1362"/>
      <c r="W29" s="1362"/>
      <c r="X29" s="1362"/>
      <c r="Y29" s="1362"/>
      <c r="Z29" s="1362"/>
      <c r="AA29" s="1362"/>
      <c r="AB29" s="1362"/>
    </row>
    <row r="30" spans="1:28" s="1364" customFormat="1">
      <c r="A30" s="1439"/>
      <c r="B30" s="1439"/>
      <c r="C30" s="1439"/>
      <c r="D30" s="1440"/>
      <c r="E30" s="1666"/>
      <c r="F30" s="1667"/>
      <c r="G30" s="459"/>
      <c r="H30" s="459"/>
      <c r="I30" s="442"/>
      <c r="J30" s="442"/>
      <c r="K30" s="442"/>
      <c r="L30" s="1361"/>
      <c r="M30" s="1361"/>
      <c r="N30" s="1362"/>
      <c r="O30" s="1362"/>
      <c r="P30" s="1362"/>
      <c r="Q30" s="1362"/>
      <c r="R30" s="1362"/>
      <c r="T30" s="1362"/>
      <c r="V30" s="1362"/>
      <c r="W30" s="1362"/>
      <c r="X30" s="1362"/>
      <c r="Y30" s="1362"/>
      <c r="Z30" s="1362"/>
      <c r="AA30" s="1362"/>
      <c r="AB30" s="1362"/>
    </row>
    <row r="31" spans="1:28" s="1364" customFormat="1">
      <c r="A31" s="1660" t="s">
        <v>388</v>
      </c>
      <c r="B31" s="1439"/>
      <c r="C31" s="1439" t="s">
        <v>562</v>
      </c>
      <c r="D31" s="1853" t="s">
        <v>524</v>
      </c>
      <c r="E31" s="1853"/>
      <c r="F31" s="1439" t="s">
        <v>525</v>
      </c>
      <c r="G31" s="459"/>
      <c r="H31" s="1460" t="s">
        <v>528</v>
      </c>
      <c r="I31" s="442"/>
      <c r="J31" s="442"/>
      <c r="K31" s="442"/>
      <c r="L31" s="1361"/>
      <c r="M31" s="1361"/>
      <c r="N31" s="1362"/>
      <c r="O31" s="1362"/>
      <c r="P31" s="1362"/>
      <c r="Q31" s="1362"/>
      <c r="R31" s="1362"/>
      <c r="T31" s="1362"/>
      <c r="V31" s="1362"/>
      <c r="W31" s="1362"/>
      <c r="X31" s="1362"/>
      <c r="Y31" s="1362"/>
      <c r="Z31" s="1362"/>
      <c r="AA31" s="1362"/>
      <c r="AB31" s="1362"/>
    </row>
    <row r="32" spans="1:28" s="1364" customFormat="1">
      <c r="A32" s="1443" t="s">
        <v>7</v>
      </c>
      <c r="B32" s="1443" t="s">
        <v>0</v>
      </c>
      <c r="C32" s="1444">
        <f>C68</f>
        <v>-1.3696844680761395E-2</v>
      </c>
      <c r="D32" s="1854">
        <f>E68</f>
        <v>-1.7928528522898161E-2</v>
      </c>
      <c r="E32" s="1854"/>
      <c r="F32" s="1545">
        <f>H68</f>
        <v>-1.8986449483432352E-2</v>
      </c>
      <c r="G32" s="1545"/>
      <c r="H32" s="459"/>
      <c r="I32" s="442"/>
      <c r="J32" s="442"/>
      <c r="K32" s="442"/>
      <c r="L32" s="1361"/>
      <c r="M32" s="1361"/>
      <c r="N32" s="1362"/>
      <c r="O32" s="1362"/>
      <c r="P32" s="1362"/>
      <c r="Q32" s="1362"/>
      <c r="R32" s="1362"/>
      <c r="T32" s="1362"/>
      <c r="V32" s="1362"/>
      <c r="W32" s="1362"/>
      <c r="X32" s="1362"/>
      <c r="Y32" s="1362"/>
      <c r="Z32" s="1362"/>
      <c r="AA32" s="1362"/>
      <c r="AB32" s="1362"/>
    </row>
    <row r="33" spans="1:28" s="1364" customFormat="1">
      <c r="A33" s="1544" t="s">
        <v>523</v>
      </c>
      <c r="B33" s="1544" t="s">
        <v>15</v>
      </c>
      <c r="C33" s="1523"/>
      <c r="D33" s="1855">
        <f>D41</f>
        <v>-3.4581910828025003E-4</v>
      </c>
      <c r="E33" s="1855"/>
      <c r="F33" s="1543">
        <f>F41</f>
        <v>-1.5452229299363091E-4</v>
      </c>
      <c r="G33" s="459"/>
      <c r="H33" s="459"/>
      <c r="I33" s="442"/>
      <c r="J33" s="442"/>
      <c r="K33" s="442"/>
      <c r="L33" s="1361"/>
      <c r="M33" s="1361"/>
      <c r="N33" s="1362"/>
      <c r="O33" s="1362"/>
      <c r="P33" s="1362"/>
      <c r="Q33" s="1362"/>
      <c r="R33" s="1362"/>
      <c r="T33" s="1362"/>
      <c r="V33" s="1362"/>
      <c r="W33" s="1362"/>
      <c r="X33" s="1362"/>
      <c r="Y33" s="1362"/>
      <c r="Z33" s="1362"/>
      <c r="AA33" s="1362"/>
      <c r="AB33" s="1362"/>
    </row>
    <row r="34" spans="1:28" s="1364" customFormat="1">
      <c r="A34" s="1544" t="s">
        <v>318</v>
      </c>
      <c r="B34" s="1544" t="s">
        <v>145</v>
      </c>
      <c r="C34" s="1523">
        <f>C77</f>
        <v>-5.0000000000000001E-4</v>
      </c>
      <c r="D34" s="1855">
        <f>E77</f>
        <v>-2.0000000000000001E-4</v>
      </c>
      <c r="E34" s="1855"/>
      <c r="F34" s="1543">
        <f>H77</f>
        <v>-1.25E-4</v>
      </c>
      <c r="G34" s="459"/>
      <c r="H34" s="459"/>
      <c r="I34" s="442"/>
      <c r="J34" s="442"/>
      <c r="K34" s="442"/>
      <c r="L34" s="1361"/>
      <c r="M34" s="1361"/>
      <c r="N34" s="1362"/>
      <c r="O34" s="1362"/>
      <c r="P34" s="1362"/>
      <c r="Q34" s="1362"/>
      <c r="R34" s="1362"/>
      <c r="T34" s="1362"/>
      <c r="V34" s="1362"/>
      <c r="W34" s="1362"/>
      <c r="X34" s="1362"/>
      <c r="Y34" s="1362"/>
      <c r="Z34" s="1362"/>
      <c r="AA34" s="1362"/>
      <c r="AB34" s="1362"/>
    </row>
    <row r="35" spans="1:28" s="1364" customFormat="1">
      <c r="A35" s="1446" t="s">
        <v>8</v>
      </c>
      <c r="B35" s="1446" t="s">
        <v>132</v>
      </c>
      <c r="C35" s="1447">
        <f>C69</f>
        <v>1.354791237840644E-3</v>
      </c>
      <c r="D35" s="1850">
        <f>E69</f>
        <v>1.0262015132863535E-3</v>
      </c>
      <c r="E35" s="1850"/>
      <c r="F35" s="1592">
        <f>H69</f>
        <v>1.128821664614989E-3</v>
      </c>
      <c r="G35" s="459"/>
      <c r="H35" s="459"/>
      <c r="I35" s="442"/>
      <c r="J35" s="442"/>
      <c r="K35" s="442"/>
      <c r="L35" s="1361"/>
      <c r="M35" s="1361"/>
      <c r="N35" s="1362"/>
      <c r="O35" s="1362"/>
      <c r="P35" s="1362"/>
      <c r="Q35" s="1362"/>
      <c r="R35" s="1362"/>
      <c r="T35" s="1362"/>
      <c r="V35" s="1362"/>
      <c r="W35" s="1362"/>
      <c r="X35" s="1362"/>
      <c r="Y35" s="1362"/>
      <c r="Z35" s="1362"/>
      <c r="AA35" s="1362"/>
      <c r="AB35" s="1362"/>
    </row>
    <row r="36" spans="1:28" s="1364" customFormat="1">
      <c r="A36" s="1446" t="s">
        <v>316</v>
      </c>
      <c r="B36" s="1446" t="s">
        <v>134</v>
      </c>
      <c r="C36" s="1447">
        <f>C70</f>
        <v>6.4031868806607058E-3</v>
      </c>
      <c r="D36" s="1850">
        <f>E70</f>
        <v>4.8501642786401341E-3</v>
      </c>
      <c r="E36" s="1850"/>
      <c r="F36" s="1592">
        <f>H70</f>
        <v>5.3351807065041487E-3</v>
      </c>
      <c r="G36" s="459"/>
      <c r="H36" s="459"/>
      <c r="I36" s="442"/>
      <c r="J36" s="442"/>
      <c r="K36" s="442"/>
      <c r="L36" s="1361"/>
      <c r="M36" s="1361"/>
      <c r="N36" s="1362"/>
      <c r="O36" s="1362"/>
      <c r="P36" s="1362"/>
      <c r="Q36" s="1362"/>
      <c r="R36" s="1362"/>
      <c r="T36" s="1362"/>
      <c r="V36" s="1362"/>
      <c r="W36" s="1362"/>
      <c r="X36" s="1362"/>
      <c r="Y36" s="1362"/>
      <c r="Z36" s="1362"/>
      <c r="AA36" s="1362"/>
      <c r="AB36" s="1362"/>
    </row>
    <row r="37" spans="1:28" s="1364" customFormat="1">
      <c r="A37" s="1438" t="s">
        <v>516</v>
      </c>
      <c r="B37" s="1438" t="s">
        <v>4</v>
      </c>
      <c r="C37" s="1447">
        <f>C71</f>
        <v>-1.530091689560439E-2</v>
      </c>
      <c r="D37" s="1851">
        <f>E71</f>
        <v>1.1286615739923276E-3</v>
      </c>
      <c r="E37" s="1851"/>
      <c r="F37" s="1592">
        <f>H71</f>
        <v>9.8623039164741225E-4</v>
      </c>
      <c r="G37" s="459"/>
      <c r="H37" s="1617" t="s">
        <v>565</v>
      </c>
      <c r="I37" s="442"/>
      <c r="J37" s="442"/>
      <c r="K37" s="442"/>
      <c r="L37" s="1361"/>
      <c r="M37" s="1361"/>
      <c r="N37" s="1362"/>
      <c r="O37" s="1362"/>
      <c r="P37" s="1362"/>
      <c r="Q37" s="1362"/>
      <c r="R37" s="1362"/>
      <c r="T37" s="1362"/>
      <c r="V37" s="1362"/>
      <c r="W37" s="1362"/>
      <c r="X37" s="1362"/>
      <c r="Y37" s="1362"/>
      <c r="Z37" s="1362"/>
      <c r="AA37" s="1362"/>
      <c r="AB37" s="1362"/>
    </row>
    <row r="38" spans="1:28" s="1364" customFormat="1">
      <c r="A38" s="1668" t="s">
        <v>521</v>
      </c>
      <c r="B38" s="1668"/>
      <c r="C38" s="1669"/>
      <c r="D38" s="1852">
        <f>SUM(D32:D37)</f>
        <v>-1.1469320265259594E-2</v>
      </c>
      <c r="E38" s="1852"/>
      <c r="F38" s="1670">
        <f>SUM(F32:F37)</f>
        <v>-1.1815739013659432E-2</v>
      </c>
      <c r="G38" s="459"/>
      <c r="H38" s="1617" t="s">
        <v>564</v>
      </c>
      <c r="I38" s="442"/>
      <c r="J38" s="442"/>
      <c r="K38" s="442"/>
      <c r="L38" s="1361"/>
      <c r="M38" s="1361"/>
      <c r="N38" s="1362"/>
      <c r="O38" s="1362"/>
      <c r="P38" s="1362"/>
      <c r="Q38" s="1362"/>
      <c r="R38" s="1362"/>
      <c r="T38" s="1362"/>
      <c r="V38" s="1362"/>
      <c r="W38" s="1362"/>
      <c r="X38" s="1362"/>
      <c r="Y38" s="1362"/>
      <c r="Z38" s="1362"/>
      <c r="AA38" s="1362"/>
      <c r="AB38" s="1362"/>
    </row>
    <row r="39" spans="1:28" s="1364" customFormat="1">
      <c r="A39" s="1671" t="s">
        <v>391</v>
      </c>
      <c r="B39" s="1632"/>
      <c r="C39" s="1657"/>
      <c r="D39" s="1633">
        <f>D62</f>
        <v>-3.303305700847194E-3</v>
      </c>
      <c r="E39" s="1698">
        <f>D39/D51</f>
        <v>0.22360991934853372</v>
      </c>
      <c r="F39" s="1633">
        <f>F62</f>
        <v>-7.3615333481319902E-3</v>
      </c>
      <c r="G39" s="1699">
        <f>F39/F51</f>
        <v>0.38386759124300829</v>
      </c>
      <c r="H39" s="1521" t="s">
        <v>585</v>
      </c>
      <c r="I39" s="442"/>
      <c r="J39" s="442"/>
      <c r="K39" s="442"/>
      <c r="L39" s="1361"/>
      <c r="M39" s="1361"/>
      <c r="N39" s="1362"/>
      <c r="O39" s="1362"/>
      <c r="P39" s="1362"/>
      <c r="Q39" s="1362"/>
      <c r="R39" s="1362"/>
      <c r="T39" s="1362"/>
      <c r="V39" s="1362"/>
      <c r="W39" s="1362"/>
      <c r="X39" s="1362"/>
      <c r="Y39" s="1362"/>
      <c r="Z39" s="1362"/>
      <c r="AA39" s="1362"/>
      <c r="AB39" s="1362"/>
    </row>
    <row r="40" spans="1:28" s="1364" customFormat="1">
      <c r="A40" s="1522"/>
      <c r="B40" s="1522"/>
      <c r="C40" s="1543" t="str">
        <f>D106</f>
        <v>BBB+</v>
      </c>
      <c r="D40" s="1547"/>
      <c r="E40" s="1543" t="str">
        <f>K106</f>
        <v>A-</v>
      </c>
      <c r="F40" s="1524"/>
      <c r="G40" s="459"/>
      <c r="H40" s="459"/>
      <c r="I40" s="442"/>
      <c r="J40" s="442"/>
      <c r="K40" s="442"/>
      <c r="L40" s="1361"/>
      <c r="M40" s="1361"/>
      <c r="N40" s="1362"/>
      <c r="O40" s="1362"/>
      <c r="P40" s="1362"/>
      <c r="Q40" s="1362"/>
      <c r="R40" s="1362"/>
      <c r="T40" s="1362"/>
      <c r="V40" s="1362"/>
      <c r="W40" s="1362"/>
      <c r="X40" s="1362"/>
      <c r="Y40" s="1362"/>
      <c r="Z40" s="1362"/>
      <c r="AA40" s="1362"/>
      <c r="AB40" s="1362"/>
    </row>
    <row r="41" spans="1:28" s="1364" customFormat="1">
      <c r="A41" s="1524" t="s">
        <v>563</v>
      </c>
      <c r="B41" s="1522"/>
      <c r="C41" s="1525">
        <f>(VLOOKUP(C40,'FINAL BIPT &amp; Cullen 2014'!$C$68:$L$78,10,FALSE)/100-'TO MS WORD'!$C$99)-'TO MS WORD'!D107</f>
        <v>-8.6454777070062508E-4</v>
      </c>
      <c r="D41" s="1525">
        <f>D76*C41</f>
        <v>-3.4581910828025003E-4</v>
      </c>
      <c r="E41" s="1525">
        <f>(VLOOKUP(E40,'FINAL BIPT &amp; Cullen 2014'!$C$68:$L$78,10,FALSE)/100-'TO MS WORD'!$C$99)-'TO MS WORD'!K107</f>
        <v>-6.1808917197452365E-4</v>
      </c>
      <c r="F41" s="1525">
        <f>G76*E41</f>
        <v>-1.5452229299363091E-4</v>
      </c>
      <c r="G41" s="459"/>
      <c r="H41" s="459"/>
      <c r="I41" s="442"/>
      <c r="J41" s="442"/>
      <c r="K41" s="442"/>
      <c r="L41" s="1361"/>
      <c r="M41" s="1361"/>
      <c r="N41" s="1362"/>
      <c r="O41" s="1362"/>
      <c r="P41" s="1362"/>
      <c r="Q41" s="1362"/>
      <c r="R41" s="1362"/>
      <c r="T41" s="1362"/>
      <c r="V41" s="1362"/>
      <c r="W41" s="1362"/>
      <c r="X41" s="1362"/>
      <c r="Y41" s="1362"/>
      <c r="Z41" s="1362"/>
      <c r="AA41" s="1362"/>
      <c r="AB41" s="1362"/>
    </row>
    <row r="42" spans="1:28" s="1546" customFormat="1">
      <c r="A42" s="531"/>
      <c r="B42" s="531"/>
      <c r="C42" s="1373"/>
      <c r="D42" s="1518"/>
      <c r="E42" s="1359"/>
      <c r="F42" s="1518"/>
      <c r="G42" s="1359"/>
      <c r="H42" s="1359"/>
      <c r="I42" s="442"/>
      <c r="J42" s="442"/>
      <c r="K42" s="442"/>
      <c r="L42" s="1361"/>
      <c r="M42" s="1361"/>
      <c r="N42" s="1363"/>
      <c r="O42" s="1363"/>
      <c r="P42" s="1363"/>
      <c r="Q42" s="1363"/>
      <c r="R42" s="1363"/>
      <c r="T42" s="1363"/>
      <c r="V42" s="1363"/>
      <c r="W42" s="1363"/>
      <c r="X42" s="1363"/>
      <c r="Y42" s="1363"/>
      <c r="Z42" s="1363"/>
      <c r="AA42" s="1363"/>
      <c r="AB42" s="1363"/>
    </row>
    <row r="43" spans="1:28" s="1546" customFormat="1">
      <c r="A43" s="531"/>
      <c r="B43" s="531"/>
      <c r="C43" s="1376"/>
      <c r="D43" s="1550"/>
      <c r="E43" s="1233"/>
      <c r="F43" s="1550"/>
      <c r="G43" s="1359"/>
      <c r="H43" s="1359"/>
      <c r="I43" s="442"/>
      <c r="J43" s="442"/>
      <c r="K43" s="442"/>
      <c r="L43" s="1361"/>
      <c r="M43" s="1361"/>
      <c r="N43" s="1363"/>
      <c r="O43" s="1363"/>
      <c r="P43" s="1363"/>
      <c r="Q43" s="1363"/>
      <c r="R43" s="1363"/>
      <c r="T43" s="1363"/>
      <c r="V43" s="1363"/>
      <c r="W43" s="1363"/>
      <c r="X43" s="1363"/>
      <c r="Y43" s="1363"/>
      <c r="Z43" s="1363"/>
      <c r="AA43" s="1363"/>
      <c r="AB43" s="1363"/>
    </row>
    <row r="44" spans="1:28" s="1364" customFormat="1">
      <c r="A44" s="1438"/>
      <c r="B44" s="1438"/>
      <c r="C44" s="1630" t="s">
        <v>311</v>
      </c>
      <c r="D44" s="1545"/>
      <c r="E44" s="1630" t="s">
        <v>76</v>
      </c>
      <c r="F44" s="1545"/>
      <c r="G44" s="459"/>
      <c r="H44" s="459"/>
      <c r="I44" s="442"/>
      <c r="J44" s="442"/>
      <c r="K44" s="442"/>
      <c r="L44" s="1361"/>
      <c r="M44" s="1361"/>
      <c r="N44" s="1362"/>
      <c r="O44" s="1362"/>
      <c r="P44" s="1362"/>
      <c r="Q44" s="1362"/>
      <c r="R44" s="1362"/>
      <c r="T44" s="1362"/>
      <c r="V44" s="1362"/>
      <c r="W44" s="1362"/>
      <c r="X44" s="1362"/>
      <c r="Y44" s="1362"/>
      <c r="Z44" s="1362"/>
      <c r="AA44" s="1362"/>
      <c r="AB44" s="1362"/>
    </row>
    <row r="45" spans="1:28" s="1364" customFormat="1">
      <c r="A45" s="1652" t="s">
        <v>551</v>
      </c>
      <c r="B45" s="1438"/>
      <c r="C45" s="1448" t="s">
        <v>562</v>
      </c>
      <c r="D45" s="1631" t="s">
        <v>517</v>
      </c>
      <c r="E45" s="1448" t="s">
        <v>562</v>
      </c>
      <c r="F45" s="1631" t="s">
        <v>517</v>
      </c>
      <c r="G45" s="459"/>
      <c r="H45" s="459"/>
      <c r="I45" s="442"/>
      <c r="J45" s="442"/>
      <c r="K45" s="442"/>
      <c r="L45" s="1361"/>
      <c r="M45" s="1361"/>
      <c r="N45" s="1362"/>
      <c r="O45" s="1362"/>
      <c r="P45" s="1362"/>
      <c r="Q45" s="1362"/>
      <c r="R45" s="1362"/>
      <c r="T45" s="1362"/>
      <c r="V45" s="1362"/>
      <c r="W45" s="1362"/>
      <c r="X45" s="1362"/>
      <c r="Y45" s="1362"/>
      <c r="Z45" s="1362"/>
      <c r="AA45" s="1362"/>
      <c r="AB45" s="1362"/>
    </row>
    <row r="46" spans="1:28" s="1364" customFormat="1">
      <c r="A46" s="1653" t="s">
        <v>314</v>
      </c>
      <c r="B46" s="1653" t="s">
        <v>258</v>
      </c>
      <c r="C46" s="1451">
        <f>C85</f>
        <v>-1.2549112196684975E-2</v>
      </c>
      <c r="D46" s="1451">
        <f>E85</f>
        <v>-5.0196448786739905E-3</v>
      </c>
      <c r="E46" s="1545">
        <f>F85</f>
        <v>-4.2253096489142661E-3</v>
      </c>
      <c r="F46" s="1451">
        <f>H85</f>
        <v>-1.0563274122285665E-3</v>
      </c>
      <c r="G46" s="459"/>
      <c r="H46" s="459"/>
      <c r="I46" s="442"/>
      <c r="J46" s="442"/>
      <c r="K46" s="442"/>
      <c r="L46" s="1361"/>
      <c r="M46" s="1361"/>
      <c r="N46" s="1362"/>
      <c r="O46" s="1362"/>
      <c r="P46" s="1362"/>
      <c r="Q46" s="1362"/>
      <c r="R46" s="1362"/>
      <c r="T46" s="1362"/>
      <c r="V46" s="1362"/>
      <c r="W46" s="1362"/>
      <c r="X46" s="1362"/>
      <c r="Y46" s="1362"/>
      <c r="Z46" s="1362"/>
      <c r="AA46" s="1362"/>
      <c r="AB46" s="1362"/>
    </row>
    <row r="47" spans="1:28" s="1364" customFormat="1">
      <c r="A47" s="1597" t="s">
        <v>313</v>
      </c>
      <c r="B47" s="1597" t="s">
        <v>320</v>
      </c>
      <c r="C47" s="1450">
        <f>C86</f>
        <v>-1.0268067600740755E-2</v>
      </c>
      <c r="D47" s="1450">
        <f>E86</f>
        <v>-9.3331927896446783E-3</v>
      </c>
      <c r="E47" s="1654">
        <f>F86</f>
        <v>-6.9953954151772274E-3</v>
      </c>
      <c r="F47" s="1450">
        <f>H86</f>
        <v>-7.9481087128964109E-3</v>
      </c>
      <c r="G47" s="459"/>
      <c r="H47" s="459"/>
      <c r="I47" s="442"/>
      <c r="J47" s="442"/>
      <c r="K47" s="442"/>
      <c r="L47" s="1361"/>
      <c r="M47" s="1361"/>
      <c r="N47" s="1362"/>
      <c r="O47" s="1362"/>
      <c r="P47" s="1362"/>
      <c r="Q47" s="1362"/>
      <c r="R47" s="1362"/>
      <c r="T47" s="1362"/>
      <c r="V47" s="1362"/>
      <c r="W47" s="1362"/>
      <c r="X47" s="1362"/>
      <c r="Y47" s="1362"/>
      <c r="Z47" s="1362"/>
      <c r="AA47" s="1362"/>
      <c r="AB47" s="1362"/>
    </row>
    <row r="48" spans="1:28" s="1364" customFormat="1">
      <c r="A48" s="1772" t="s">
        <v>598</v>
      </c>
      <c r="B48" s="1598"/>
      <c r="C48" s="1599">
        <f>C56</f>
        <v>1.9999999999999962E-2</v>
      </c>
      <c r="D48" s="1706">
        <f>E89</f>
        <v>-1.3974943190425667E-3</v>
      </c>
      <c r="E48" s="1600">
        <f>E56</f>
        <v>0.16999999999999998</v>
      </c>
      <c r="F48" s="1706">
        <f>H89</f>
        <v>-1.0866633843357067E-2</v>
      </c>
      <c r="G48" s="459"/>
      <c r="H48" s="1429" t="s">
        <v>599</v>
      </c>
      <c r="I48" s="442"/>
      <c r="J48" s="442"/>
      <c r="K48" s="442"/>
      <c r="L48" s="1361"/>
      <c r="M48" s="1361"/>
      <c r="N48" s="1362"/>
      <c r="O48" s="1362"/>
      <c r="P48" s="1362"/>
      <c r="Q48" s="1362"/>
      <c r="R48" s="1362"/>
      <c r="T48" s="1362"/>
      <c r="V48" s="1362"/>
      <c r="W48" s="1362"/>
      <c r="X48" s="1362"/>
      <c r="Y48" s="1362"/>
      <c r="Z48" s="1362"/>
      <c r="AA48" s="1362"/>
      <c r="AB48" s="1362"/>
    </row>
    <row r="49" spans="1:28" s="1602" customFormat="1">
      <c r="A49" s="1649" t="s">
        <v>554</v>
      </c>
      <c r="B49" s="1650"/>
      <c r="C49" s="1611"/>
      <c r="D49" s="1540">
        <f>C48*(C46-C47/(1-D97))</f>
        <v>6.0124182387789702E-5</v>
      </c>
      <c r="E49" s="1651"/>
      <c r="F49" s="1540">
        <f>E48*(E46-E47/(1-K97))</f>
        <v>1.0832686679410944E-3</v>
      </c>
      <c r="G49" s="1453"/>
      <c r="H49" s="1437" t="s">
        <v>555</v>
      </c>
      <c r="I49" s="1454"/>
      <c r="J49" s="1454"/>
      <c r="K49" s="1454"/>
      <c r="L49" s="1601"/>
      <c r="M49" s="1601"/>
    </row>
    <row r="50" spans="1:28" s="1364" customFormat="1">
      <c r="A50" s="1449" t="s">
        <v>393</v>
      </c>
      <c r="B50" s="1449" t="s">
        <v>568</v>
      </c>
      <c r="C50" s="1449"/>
      <c r="D50" s="1450">
        <f>E88</f>
        <v>9.1758183886665561E-4</v>
      </c>
      <c r="E50" s="1655"/>
      <c r="F50" s="1654">
        <f>H88</f>
        <v>-3.8947106125047232E-4</v>
      </c>
      <c r="G50" s="459"/>
      <c r="H50" s="459"/>
      <c r="I50" s="442"/>
      <c r="J50" s="442"/>
      <c r="K50" s="442"/>
      <c r="L50" s="1361"/>
      <c r="M50" s="1361"/>
      <c r="N50" s="1362"/>
      <c r="O50" s="1362"/>
      <c r="P50" s="1362"/>
      <c r="Q50" s="1362"/>
      <c r="R50" s="1362"/>
      <c r="T50" s="1362"/>
      <c r="V50" s="1362"/>
      <c r="W50" s="1362"/>
      <c r="X50" s="1362"/>
      <c r="Y50" s="1362"/>
      <c r="Z50" s="1362"/>
      <c r="AA50" s="1362"/>
      <c r="AB50" s="1362"/>
    </row>
    <row r="51" spans="1:28" s="1364" customFormat="1">
      <c r="A51" s="1656" t="s">
        <v>281</v>
      </c>
      <c r="B51" s="1656"/>
      <c r="C51" s="1672">
        <f>C121</f>
        <v>-1.4772625966106789E-2</v>
      </c>
      <c r="D51" s="1673">
        <f>SUM(D46:D50)</f>
        <v>-1.4772625966106788E-2</v>
      </c>
      <c r="E51" s="1612">
        <f>J121</f>
        <v>-1.9177272361791411E-2</v>
      </c>
      <c r="F51" s="1673">
        <f>SUM(F46:F50)</f>
        <v>-1.9177272361791422E-2</v>
      </c>
      <c r="G51" s="459"/>
      <c r="H51" s="459"/>
      <c r="I51" s="442"/>
      <c r="J51" s="442"/>
      <c r="K51" s="442"/>
      <c r="L51" s="1361"/>
      <c r="M51" s="1361"/>
      <c r="N51" s="1362"/>
      <c r="O51" s="1362"/>
      <c r="P51" s="1362"/>
      <c r="Q51" s="1362"/>
      <c r="R51" s="1362"/>
      <c r="T51" s="1362"/>
      <c r="V51" s="1362"/>
      <c r="W51" s="1362"/>
      <c r="X51" s="1362"/>
      <c r="Y51" s="1362"/>
      <c r="Z51" s="1362"/>
      <c r="AA51" s="1362"/>
      <c r="AB51" s="1362"/>
    </row>
    <row r="52" spans="1:28" s="1364" customFormat="1">
      <c r="A52" s="531"/>
      <c r="B52" s="531"/>
      <c r="C52" s="1373"/>
      <c r="D52" s="1518"/>
      <c r="E52" s="1359"/>
      <c r="F52" s="1518"/>
      <c r="G52" s="459"/>
      <c r="H52" s="459"/>
      <c r="I52" s="442"/>
      <c r="J52" s="442"/>
      <c r="K52" s="442"/>
      <c r="L52" s="1361"/>
      <c r="M52" s="1361"/>
      <c r="N52" s="1362"/>
      <c r="O52" s="1362"/>
      <c r="P52" s="1362"/>
      <c r="Q52" s="1362"/>
      <c r="R52" s="1362"/>
      <c r="T52" s="1362"/>
      <c r="V52" s="1362"/>
      <c r="W52" s="1362"/>
      <c r="X52" s="1362"/>
      <c r="Y52" s="1362"/>
      <c r="Z52" s="1362"/>
      <c r="AA52" s="1362"/>
      <c r="AB52" s="1362"/>
    </row>
    <row r="53" spans="1:28" s="1364" customFormat="1">
      <c r="A53" s="458" t="s">
        <v>575</v>
      </c>
      <c r="B53" s="531"/>
      <c r="C53" s="458"/>
      <c r="D53" s="1518"/>
      <c r="E53" s="1359"/>
      <c r="F53" s="1518"/>
      <c r="G53" s="459"/>
      <c r="H53" s="1634" t="s">
        <v>566</v>
      </c>
      <c r="I53" s="442"/>
      <c r="J53" s="442"/>
      <c r="K53" s="442"/>
      <c r="L53" s="1361"/>
      <c r="M53" s="1361"/>
      <c r="N53" s="1362"/>
      <c r="O53" s="1362"/>
      <c r="P53" s="1362"/>
      <c r="Q53" s="1362"/>
      <c r="R53" s="1362"/>
      <c r="T53" s="1362"/>
      <c r="V53" s="1362"/>
      <c r="W53" s="1362"/>
      <c r="X53" s="1362"/>
      <c r="Y53" s="1362"/>
      <c r="Z53" s="1362"/>
      <c r="AA53" s="1362"/>
      <c r="AB53" s="1362"/>
    </row>
    <row r="54" spans="1:28" s="1364" customFormat="1">
      <c r="A54" s="531"/>
      <c r="B54" s="531"/>
      <c r="C54" s="1549" t="s">
        <v>311</v>
      </c>
      <c r="D54" s="1593"/>
      <c r="E54" s="1549" t="s">
        <v>76</v>
      </c>
      <c r="F54" s="1593"/>
      <c r="G54" s="1460"/>
      <c r="H54" s="1460" t="s">
        <v>567</v>
      </c>
      <c r="I54" s="1462"/>
      <c r="J54" s="1462"/>
      <c r="K54" s="1462"/>
      <c r="L54" s="1361"/>
      <c r="M54" s="1361"/>
      <c r="N54" s="1362"/>
      <c r="O54" s="1362"/>
      <c r="P54" s="1362"/>
      <c r="Q54" s="1362"/>
      <c r="R54" s="1362"/>
      <c r="T54" s="1362"/>
      <c r="V54" s="1362"/>
      <c r="W54" s="1362"/>
      <c r="X54" s="1362"/>
      <c r="Y54" s="1362"/>
      <c r="Z54" s="1362"/>
      <c r="AA54" s="1362"/>
      <c r="AB54" s="1362"/>
    </row>
    <row r="55" spans="1:28" s="1364" customFormat="1">
      <c r="A55" s="1591" t="s">
        <v>391</v>
      </c>
      <c r="B55" s="464"/>
      <c r="C55" s="1236" t="s">
        <v>526</v>
      </c>
      <c r="D55" s="1615" t="s">
        <v>517</v>
      </c>
      <c r="E55" s="1236" t="s">
        <v>526</v>
      </c>
      <c r="F55" s="1615" t="s">
        <v>517</v>
      </c>
      <c r="G55" s="1460"/>
      <c r="H55" s="1617" t="s">
        <v>556</v>
      </c>
      <c r="I55" s="1617"/>
      <c r="J55" s="1617"/>
      <c r="K55" s="1617"/>
      <c r="L55" s="1361"/>
      <c r="M55" s="1361"/>
      <c r="N55" s="1362"/>
      <c r="O55" s="1362"/>
      <c r="P55" s="1362"/>
      <c r="Q55" s="1362"/>
      <c r="R55" s="1362"/>
      <c r="T55" s="1362"/>
      <c r="V55" s="1362"/>
      <c r="W55" s="1362"/>
      <c r="X55" s="1362"/>
      <c r="Y55" s="1362"/>
      <c r="Z55" s="1362"/>
      <c r="AA55" s="1362"/>
      <c r="AB55" s="1362"/>
    </row>
    <row r="56" spans="1:28" s="1364" customFormat="1">
      <c r="A56" s="474" t="s">
        <v>347</v>
      </c>
      <c r="B56" s="474" t="s">
        <v>172</v>
      </c>
      <c r="C56" s="1603">
        <f>C73</f>
        <v>1.9999999999999962E-2</v>
      </c>
      <c r="D56" s="1674">
        <f>D62-SUM(D58:D61)</f>
        <v>3.4531092557251722E-4</v>
      </c>
      <c r="E56" s="1604">
        <f>F73</f>
        <v>0.16999999999999998</v>
      </c>
      <c r="F56" s="1674">
        <f>F62-SUM(F58:F61)</f>
        <v>3.2824311487489061E-4</v>
      </c>
      <c r="G56" s="1460"/>
      <c r="H56" s="1618" t="s">
        <v>557</v>
      </c>
      <c r="I56" s="1617"/>
      <c r="J56" s="1617"/>
      <c r="K56" s="1617"/>
      <c r="L56" s="1361"/>
      <c r="M56" s="1361"/>
      <c r="N56" s="1362"/>
      <c r="O56" s="1362"/>
      <c r="P56" s="1362"/>
      <c r="Q56" s="1362"/>
      <c r="R56" s="1362"/>
      <c r="T56" s="1362"/>
      <c r="V56" s="1362"/>
      <c r="W56" s="1362"/>
      <c r="X56" s="1362"/>
      <c r="Y56" s="1362"/>
      <c r="Z56" s="1362"/>
      <c r="AA56" s="1362"/>
      <c r="AB56" s="1362"/>
    </row>
    <row r="57" spans="1:28" s="1364" customFormat="1">
      <c r="A57" s="531" t="s">
        <v>138</v>
      </c>
      <c r="B57" s="464"/>
      <c r="C57" s="1424" t="str">
        <f>C75</f>
        <v>-1 cran(s)</v>
      </c>
      <c r="D57" s="1476"/>
      <c r="E57" s="1675" t="str">
        <f>F75</f>
        <v>-3 cran(s)</v>
      </c>
      <c r="F57" s="1476"/>
      <c r="G57" s="1460"/>
      <c r="H57" s="1618" t="s">
        <v>558</v>
      </c>
      <c r="I57" s="1617"/>
      <c r="J57" s="1617"/>
      <c r="K57" s="1617"/>
      <c r="L57" s="1361"/>
      <c r="M57" s="1361"/>
      <c r="N57" s="1362"/>
      <c r="O57" s="1362"/>
      <c r="P57" s="1362"/>
      <c r="Q57" s="1362"/>
      <c r="R57" s="1362"/>
      <c r="T57" s="1362"/>
      <c r="V57" s="1362"/>
      <c r="W57" s="1362"/>
      <c r="X57" s="1362"/>
      <c r="Y57" s="1362"/>
      <c r="Z57" s="1362"/>
      <c r="AA57" s="1362"/>
      <c r="AB57" s="1362"/>
    </row>
    <row r="58" spans="1:28" s="1364" customFormat="1">
      <c r="A58" s="474" t="s">
        <v>390</v>
      </c>
      <c r="B58" s="474" t="s">
        <v>11</v>
      </c>
      <c r="C58" s="1605">
        <f>C80</f>
        <v>2.1323086894125209E-2</v>
      </c>
      <c r="D58" s="1468">
        <f>E80</f>
        <v>1.4653234358430495E-3</v>
      </c>
      <c r="E58" s="1606">
        <f>F80</f>
        <v>-1.0764733204011723E-3</v>
      </c>
      <c r="F58" s="1483">
        <f>H80</f>
        <v>-7.8340402969253667E-5</v>
      </c>
      <c r="G58" s="1460"/>
      <c r="H58" s="1431" t="s">
        <v>615</v>
      </c>
      <c r="I58" s="459"/>
      <c r="J58" s="1375">
        <f>'FINAL BIPT &amp; Cullen 2014'!J20-'FINAL BIPT &amp; Cullen 2014'!V19</f>
        <v>-4.5326718858125559E-2</v>
      </c>
      <c r="K58" s="1375">
        <f>'FINAL BIPT &amp; Cullen 2014'!P20-'FINAL BIPT &amp; Cullen 2014'!Y19</f>
        <v>-3.4135619787070137E-2</v>
      </c>
      <c r="L58" s="1361"/>
      <c r="M58" s="1361"/>
      <c r="N58" s="1362"/>
      <c r="O58" s="1362"/>
      <c r="P58" s="1362"/>
      <c r="Q58" s="1362"/>
      <c r="R58" s="1362"/>
      <c r="T58" s="1362"/>
      <c r="V58" s="1362"/>
      <c r="W58" s="1362"/>
      <c r="X58" s="1362"/>
      <c r="Y58" s="1362"/>
      <c r="Z58" s="1362"/>
      <c r="AA58" s="1362"/>
      <c r="AB58" s="1362"/>
    </row>
    <row r="59" spans="1:28" s="1364" customFormat="1">
      <c r="A59" s="1548" t="s">
        <v>342</v>
      </c>
      <c r="B59" s="1548" t="s">
        <v>343</v>
      </c>
      <c r="C59" s="1607">
        <f>C81</f>
        <v>0.22151118186029947</v>
      </c>
      <c r="D59" s="1623">
        <f>E81</f>
        <v>-4.651734819066289E-3</v>
      </c>
      <c r="E59" s="1608">
        <f>F81</f>
        <v>0.29832216062752187</v>
      </c>
      <c r="F59" s="1623">
        <f>H81</f>
        <v>-3.9154783582362246E-3</v>
      </c>
      <c r="G59" s="1460"/>
      <c r="H59" s="1431" t="s">
        <v>616</v>
      </c>
      <c r="I59" s="459"/>
      <c r="J59" s="1375">
        <f>'FINAL BIPT &amp; Cullen 2014'!J22-'FINAL BIPT &amp; Cullen 2014'!V22</f>
        <v>3.4074924110692739E-3</v>
      </c>
      <c r="K59" s="1375">
        <f>'FINAL BIPT &amp; Cullen 2014'!P22-'FINAL BIPT &amp; Cullen 2014'!Y22</f>
        <v>0.11501693114311762</v>
      </c>
      <c r="L59" s="1361"/>
      <c r="M59" s="1361"/>
      <c r="N59" s="1362"/>
      <c r="O59" s="1362"/>
      <c r="P59" s="1362"/>
      <c r="Q59" s="1362"/>
      <c r="R59" s="1362"/>
      <c r="T59" s="1362"/>
      <c r="V59" s="1362"/>
      <c r="W59" s="1362"/>
      <c r="X59" s="1362"/>
      <c r="Y59" s="1362"/>
      <c r="Z59" s="1362"/>
      <c r="AA59" s="1362"/>
      <c r="AB59" s="1362"/>
    </row>
    <row r="60" spans="1:28" s="1364" customFormat="1">
      <c r="A60" s="1544" t="s">
        <v>559</v>
      </c>
      <c r="B60" s="1609" t="s">
        <v>319</v>
      </c>
      <c r="C60" s="1375">
        <f>C83</f>
        <v>-3.3333333333333326E-2</v>
      </c>
      <c r="D60" s="1610">
        <f>E83</f>
        <v>0</v>
      </c>
      <c r="E60" s="896">
        <f>F83</f>
        <v>6.6666666666666652E-2</v>
      </c>
      <c r="F60" s="1610">
        <f>H83</f>
        <v>0</v>
      </c>
      <c r="G60" s="1460"/>
      <c r="H60" s="1460" t="s">
        <v>572</v>
      </c>
      <c r="I60" s="1462"/>
      <c r="J60" s="1462"/>
      <c r="K60" s="1462"/>
      <c r="L60" s="1361"/>
      <c r="M60" s="1361"/>
      <c r="N60" s="1362"/>
      <c r="O60" s="1362"/>
      <c r="P60" s="1362"/>
      <c r="Q60" s="1362"/>
      <c r="R60" s="1362"/>
      <c r="T60" s="1362"/>
      <c r="V60" s="1362"/>
      <c r="W60" s="1362"/>
      <c r="X60" s="1362"/>
      <c r="Y60" s="1362"/>
      <c r="Z60" s="1362"/>
      <c r="AA60" s="1362"/>
      <c r="AB60" s="1362"/>
    </row>
    <row r="61" spans="1:28" s="1364" customFormat="1" ht="12.75" customHeight="1">
      <c r="A61" s="467" t="s">
        <v>519</v>
      </c>
      <c r="B61" s="467" t="s">
        <v>5</v>
      </c>
      <c r="C61" s="1596">
        <f>C79</f>
        <v>3.9369381220739685E-2</v>
      </c>
      <c r="D61" s="1479">
        <f>E79</f>
        <v>-4.622052431964713E-4</v>
      </c>
      <c r="E61" s="1596">
        <f>F79</f>
        <v>0.2518492723823938</v>
      </c>
      <c r="F61" s="1479">
        <f>H79</f>
        <v>-3.6959577018014023E-3</v>
      </c>
      <c r="G61" s="1634"/>
      <c r="H61" s="1634" t="s">
        <v>573</v>
      </c>
      <c r="I61" s="1634"/>
      <c r="J61" s="1634"/>
      <c r="K61" s="1634"/>
      <c r="L61" s="1361"/>
      <c r="M61" s="1361"/>
      <c r="N61" s="1362"/>
      <c r="O61" s="1362"/>
      <c r="P61" s="1362"/>
      <c r="Q61" s="1362"/>
      <c r="R61" s="1362"/>
      <c r="T61" s="1362"/>
      <c r="V61" s="1362"/>
      <c r="W61" s="1362"/>
      <c r="X61" s="1362"/>
      <c r="Y61" s="1362"/>
      <c r="Z61" s="1362"/>
      <c r="AA61" s="1362"/>
      <c r="AB61" s="1362"/>
    </row>
    <row r="62" spans="1:28" s="1364" customFormat="1">
      <c r="A62" s="1541" t="s">
        <v>522</v>
      </c>
      <c r="B62" s="1541"/>
      <c r="C62" s="758"/>
      <c r="D62" s="1628">
        <f>D51-D38</f>
        <v>-3.303305700847194E-3</v>
      </c>
      <c r="E62" s="758"/>
      <c r="F62" s="1628">
        <f>F51-F38</f>
        <v>-7.3615333481319902E-3</v>
      </c>
      <c r="G62" s="1634"/>
      <c r="H62" s="459"/>
      <c r="I62" s="459"/>
      <c r="J62" s="459"/>
      <c r="K62" s="459"/>
      <c r="L62" s="1361"/>
      <c r="M62" s="1361"/>
      <c r="N62" s="1362"/>
      <c r="O62" s="1362"/>
      <c r="P62" s="1362"/>
      <c r="Q62" s="1362"/>
      <c r="R62" s="1362"/>
      <c r="T62" s="1362"/>
      <c r="V62" s="1362"/>
      <c r="W62" s="1362"/>
      <c r="X62" s="1362"/>
      <c r="Y62" s="1362"/>
      <c r="Z62" s="1362"/>
      <c r="AA62" s="1362"/>
      <c r="AB62" s="1362"/>
    </row>
    <row r="63" spans="1:28" s="1364" customFormat="1">
      <c r="A63" s="458"/>
      <c r="B63" s="459"/>
      <c r="C63" s="459"/>
      <c r="D63" s="459"/>
      <c r="E63" s="459"/>
      <c r="F63" s="459"/>
      <c r="G63" s="1035"/>
      <c r="H63" s="1035"/>
      <c r="I63" s="1035"/>
      <c r="J63" s="1536"/>
      <c r="K63" s="1536"/>
      <c r="L63" s="1361"/>
      <c r="M63" s="1361"/>
      <c r="N63" s="1362"/>
      <c r="O63" s="1362"/>
      <c r="P63" s="1362"/>
      <c r="Q63" s="1362"/>
      <c r="R63" s="1362"/>
      <c r="T63" s="1362"/>
      <c r="V63" s="1362"/>
      <c r="W63" s="1362"/>
      <c r="X63" s="1362"/>
      <c r="Y63" s="1362"/>
      <c r="Z63" s="1362"/>
      <c r="AA63" s="1362"/>
      <c r="AB63" s="1362"/>
    </row>
    <row r="64" spans="1:28" s="1364" customFormat="1" ht="4.5" customHeight="1">
      <c r="G64" s="1377"/>
      <c r="H64" s="1377"/>
      <c r="I64" s="1377"/>
      <c r="J64" s="1707"/>
      <c r="K64" s="1707"/>
      <c r="L64" s="1361"/>
      <c r="M64" s="1361"/>
      <c r="N64" s="1362"/>
      <c r="O64" s="1362"/>
      <c r="P64" s="1362"/>
      <c r="Q64" s="1362"/>
      <c r="R64" s="1362"/>
      <c r="T64" s="1362"/>
      <c r="V64" s="1362"/>
      <c r="W64" s="1362"/>
      <c r="X64" s="1362"/>
      <c r="Y64" s="1362"/>
      <c r="Z64" s="1362"/>
      <c r="AA64" s="1362"/>
      <c r="AB64" s="1362"/>
    </row>
    <row r="65" spans="1:28" s="1364" customFormat="1">
      <c r="A65" s="1858" t="s">
        <v>576</v>
      </c>
      <c r="B65" s="1858"/>
      <c r="C65" s="1461" t="s">
        <v>527</v>
      </c>
      <c r="D65" s="1461"/>
      <c r="E65" s="1460"/>
      <c r="F65" s="1460"/>
      <c r="G65" s="1460"/>
      <c r="H65" s="1460"/>
      <c r="I65" s="1462"/>
      <c r="J65" s="1462"/>
      <c r="K65" s="1462"/>
      <c r="L65" s="1361"/>
      <c r="M65" s="1361"/>
      <c r="N65" s="1362"/>
      <c r="O65" s="1362"/>
      <c r="P65" s="1362"/>
      <c r="Q65" s="1362"/>
      <c r="R65" s="1362"/>
      <c r="T65" s="1362"/>
      <c r="V65" s="1362"/>
      <c r="W65" s="1362"/>
      <c r="X65" s="1362"/>
      <c r="Y65" s="1362"/>
      <c r="Z65" s="1362"/>
      <c r="AA65" s="1362"/>
      <c r="AB65" s="1362"/>
    </row>
    <row r="66" spans="1:28" s="1364" customFormat="1">
      <c r="A66" s="1858"/>
      <c r="B66" s="1858"/>
      <c r="C66" s="1459"/>
      <c r="D66" s="1464"/>
      <c r="E66" s="1464"/>
      <c r="F66" s="1459"/>
      <c r="G66" s="1464"/>
      <c r="H66" s="1460"/>
      <c r="I66" s="1462"/>
      <c r="J66" s="1462"/>
      <c r="K66" s="1462"/>
      <c r="L66" s="1361"/>
      <c r="M66" s="1361"/>
      <c r="N66" s="1362"/>
      <c r="O66" s="1362"/>
      <c r="P66" s="1362"/>
      <c r="Q66" s="1362"/>
      <c r="R66" s="1362"/>
      <c r="T66" s="1362"/>
      <c r="V66" s="1362"/>
      <c r="W66" s="1362"/>
      <c r="X66" s="1362"/>
      <c r="Y66" s="1362"/>
      <c r="Z66" s="1362"/>
      <c r="AA66" s="1362"/>
      <c r="AB66" s="1362"/>
    </row>
    <row r="67" spans="1:28" s="1364" customFormat="1">
      <c r="A67" s="1463"/>
      <c r="B67" s="1463"/>
      <c r="C67" s="1465" t="s">
        <v>311</v>
      </c>
      <c r="D67" s="1466" t="s">
        <v>520</v>
      </c>
      <c r="E67" s="1466" t="s">
        <v>514</v>
      </c>
      <c r="F67" s="1496" t="s">
        <v>76</v>
      </c>
      <c r="G67" s="1466" t="s">
        <v>520</v>
      </c>
      <c r="H67" s="1466" t="s">
        <v>514</v>
      </c>
      <c r="I67" s="1662"/>
      <c r="J67" s="1476" t="s">
        <v>544</v>
      </c>
      <c r="K67" s="1476"/>
      <c r="L67" s="1361"/>
      <c r="M67" s="1361"/>
      <c r="N67" s="1362"/>
      <c r="O67" s="1362"/>
      <c r="P67" s="1362"/>
      <c r="Q67" s="1362"/>
      <c r="R67" s="1362"/>
      <c r="T67" s="1362"/>
      <c r="V67" s="1362"/>
      <c r="W67" s="1362"/>
      <c r="X67" s="1362"/>
      <c r="Y67" s="1362"/>
      <c r="Z67" s="1362"/>
      <c r="AA67" s="1362"/>
      <c r="AB67" s="1362"/>
    </row>
    <row r="68" spans="1:28" s="1364" customFormat="1">
      <c r="A68" s="1467" t="s">
        <v>7</v>
      </c>
      <c r="B68" s="1467" t="s">
        <v>0</v>
      </c>
      <c r="C68" s="1468">
        <f>C99-D99</f>
        <v>-1.3696844680761395E-2</v>
      </c>
      <c r="D68" s="1469">
        <f>D86+D85</f>
        <v>1.3089531889107711</v>
      </c>
      <c r="E68" s="1470">
        <f>$C68*D68</f>
        <v>-1.7928528522898161E-2</v>
      </c>
      <c r="F68" s="1537"/>
      <c r="G68" s="1482">
        <f>G86+G85</f>
        <v>1.3861914861384639</v>
      </c>
      <c r="H68" s="1483">
        <f>$C68*G68</f>
        <v>-1.8986449483432352E-2</v>
      </c>
      <c r="I68" s="1462"/>
      <c r="J68" s="1460" t="s">
        <v>545</v>
      </c>
      <c r="K68" s="1460"/>
      <c r="L68" s="1361"/>
      <c r="M68" s="1361"/>
      <c r="N68" s="1362"/>
      <c r="O68" s="1362"/>
      <c r="P68" s="1362"/>
      <c r="Q68" s="1362"/>
      <c r="R68" s="1362"/>
      <c r="T68" s="1362"/>
      <c r="V68" s="1362"/>
      <c r="W68" s="1362"/>
      <c r="X68" s="1362"/>
      <c r="Y68" s="1362"/>
      <c r="Z68" s="1362"/>
      <c r="AA68" s="1362"/>
      <c r="AB68" s="1362"/>
    </row>
    <row r="69" spans="1:28" s="1364" customFormat="1">
      <c r="A69" s="1471" t="s">
        <v>8</v>
      </c>
      <c r="B69" s="1471" t="s">
        <v>132</v>
      </c>
      <c r="C69" s="1472">
        <f>C100-D100</f>
        <v>1.354791237840644E-3</v>
      </c>
      <c r="D69" s="1469">
        <f>D86*D113</f>
        <v>0.75746099075897588</v>
      </c>
      <c r="E69" s="1470">
        <f>$C69*D69</f>
        <v>1.0262015132863535E-3</v>
      </c>
      <c r="F69" s="1538"/>
      <c r="G69" s="1469">
        <f>G86*K113</f>
        <v>0.83320708983487357</v>
      </c>
      <c r="H69" s="1470">
        <f>$C69*G69</f>
        <v>1.128821664614989E-3</v>
      </c>
      <c r="I69" s="1462"/>
      <c r="J69" s="1460" t="s">
        <v>546</v>
      </c>
      <c r="K69" s="1460"/>
      <c r="L69" s="1361"/>
      <c r="M69" s="1361"/>
      <c r="N69" s="1362"/>
      <c r="O69" s="1362"/>
      <c r="P69" s="1362"/>
      <c r="Q69" s="1362"/>
      <c r="R69" s="1362"/>
      <c r="T69" s="1362"/>
      <c r="V69" s="1362"/>
      <c r="W69" s="1362"/>
      <c r="X69" s="1362"/>
      <c r="Y69" s="1362"/>
      <c r="Z69" s="1362"/>
      <c r="AA69" s="1362"/>
      <c r="AB69" s="1362"/>
    </row>
    <row r="70" spans="1:28" s="1364" customFormat="1">
      <c r="A70" s="1471" t="s">
        <v>316</v>
      </c>
      <c r="B70" s="1471" t="s">
        <v>134</v>
      </c>
      <c r="C70" s="1472">
        <f>C101-D101</f>
        <v>6.4031868806607058E-3</v>
      </c>
      <c r="D70" s="1469">
        <f>D86*D114</f>
        <v>0.75746099075897588</v>
      </c>
      <c r="E70" s="1470">
        <f>$C70*D70</f>
        <v>4.8501642786401341E-3</v>
      </c>
      <c r="F70" s="1538"/>
      <c r="G70" s="1469">
        <f>G86*K114</f>
        <v>0.83320708983487357</v>
      </c>
      <c r="H70" s="1470">
        <f>$C70*G70</f>
        <v>5.3351807065041487E-3</v>
      </c>
      <c r="I70" s="1462"/>
      <c r="J70" s="1460" t="s">
        <v>547</v>
      </c>
      <c r="K70" s="1460"/>
      <c r="L70" s="1361"/>
      <c r="M70" s="1361"/>
      <c r="N70" s="1362"/>
      <c r="O70" s="1362"/>
      <c r="P70" s="1362"/>
      <c r="Q70" s="1362"/>
      <c r="R70" s="1362"/>
      <c r="T70" s="1362"/>
      <c r="V70" s="1362"/>
      <c r="W70" s="1362"/>
      <c r="X70" s="1362"/>
      <c r="Y70" s="1362"/>
      <c r="Z70" s="1362"/>
      <c r="AA70" s="1362"/>
      <c r="AB70" s="1362"/>
    </row>
    <row r="71" spans="1:28" s="1364" customFormat="1">
      <c r="A71" s="1473" t="s">
        <v>516</v>
      </c>
      <c r="B71" s="1473" t="s">
        <v>4</v>
      </c>
      <c r="C71" s="1472">
        <f>C102-D102</f>
        <v>-1.530091689560439E-2</v>
      </c>
      <c r="D71" s="1474">
        <f>-D86*D97*D110</f>
        <v>-7.3764309792216876E-2</v>
      </c>
      <c r="E71" s="1475">
        <f>$C71*D71</f>
        <v>1.1286615739923276E-3</v>
      </c>
      <c r="F71" s="1539"/>
      <c r="G71" s="1474">
        <f>-G86*K97*K110</f>
        <v>-6.4455640036234302E-2</v>
      </c>
      <c r="H71" s="1475">
        <f>$C71*G71</f>
        <v>9.8623039164741225E-4</v>
      </c>
      <c r="I71" s="1517"/>
      <c r="J71" s="1512" t="s">
        <v>543</v>
      </c>
      <c r="K71" s="1512"/>
      <c r="L71" s="1361"/>
      <c r="M71" s="1361"/>
      <c r="N71" s="1362"/>
      <c r="O71" s="1362"/>
      <c r="P71" s="1362"/>
      <c r="Q71" s="1362"/>
      <c r="R71" s="1362"/>
      <c r="T71" s="1362"/>
      <c r="V71" s="1362"/>
      <c r="W71" s="1362"/>
      <c r="X71" s="1362"/>
      <c r="Y71" s="1362"/>
      <c r="Z71" s="1362"/>
      <c r="AA71" s="1362"/>
      <c r="AB71" s="1362"/>
    </row>
    <row r="72" spans="1:28" s="1364" customFormat="1">
      <c r="A72" s="1463"/>
      <c r="B72" s="1471"/>
      <c r="C72" s="1477"/>
      <c r="D72" s="1478"/>
      <c r="E72" s="1479">
        <f>SUM(E68:E71)</f>
        <v>-1.0923501156979345E-2</v>
      </c>
      <c r="F72" s="1498"/>
      <c r="G72" s="1478"/>
      <c r="H72" s="1479">
        <f>SUM(H68:H71)</f>
        <v>-1.1536216720665802E-2</v>
      </c>
      <c r="I72" s="1517"/>
      <c r="J72" s="1459"/>
      <c r="K72" s="1462"/>
      <c r="L72" s="1361"/>
      <c r="M72" s="1361"/>
      <c r="N72" s="1362"/>
      <c r="O72" s="1362"/>
      <c r="P72" s="1362"/>
      <c r="Q72" s="1362"/>
      <c r="R72" s="1362"/>
      <c r="T72" s="1362"/>
      <c r="V72" s="1362"/>
      <c r="W72" s="1362"/>
      <c r="X72" s="1362"/>
      <c r="Y72" s="1362"/>
      <c r="Z72" s="1362"/>
      <c r="AA72" s="1362"/>
      <c r="AB72" s="1362"/>
    </row>
    <row r="73" spans="1:28" s="1364" customFormat="1" ht="12.75" customHeight="1">
      <c r="A73" s="1467" t="s">
        <v>347</v>
      </c>
      <c r="B73" s="1467" t="s">
        <v>172</v>
      </c>
      <c r="C73" s="1481">
        <f>C104-D104</f>
        <v>1.9999999999999962E-2</v>
      </c>
      <c r="D73" s="1482"/>
      <c r="E73" s="1483"/>
      <c r="F73" s="1499">
        <f>J104-K104</f>
        <v>0.16999999999999998</v>
      </c>
      <c r="G73" s="1482"/>
      <c r="H73" s="1483"/>
      <c r="I73" s="1484"/>
      <c r="J73" s="1437" t="s">
        <v>570</v>
      </c>
      <c r="K73" s="1470"/>
      <c r="L73" s="1361"/>
      <c r="M73" s="1361"/>
      <c r="N73" s="1362"/>
      <c r="O73" s="1362"/>
      <c r="P73" s="1362"/>
      <c r="Q73" s="1362"/>
      <c r="R73" s="1362"/>
      <c r="T73" s="1362"/>
      <c r="V73" s="1362"/>
      <c r="W73" s="1362"/>
      <c r="X73" s="1362"/>
      <c r="Y73" s="1362"/>
      <c r="Z73" s="1362"/>
      <c r="AA73" s="1362"/>
      <c r="AB73" s="1362"/>
    </row>
    <row r="74" spans="1:28" s="1364" customFormat="1">
      <c r="A74" s="464"/>
      <c r="B74" s="471" t="s">
        <v>364</v>
      </c>
      <c r="C74" s="1423">
        <f>C105-D105</f>
        <v>5.7471264367815911E-2</v>
      </c>
      <c r="D74" s="1432"/>
      <c r="E74" s="1434"/>
      <c r="F74" s="1500">
        <f>J105-K105</f>
        <v>0.39080459770114934</v>
      </c>
      <c r="G74" s="1432"/>
      <c r="H74" s="1434"/>
      <c r="I74" s="1423"/>
      <c r="J74" s="1455" t="s">
        <v>571</v>
      </c>
      <c r="K74" s="1434"/>
      <c r="L74" s="1361"/>
      <c r="M74" s="1361"/>
      <c r="N74" s="1362"/>
      <c r="O74" s="1362"/>
      <c r="P74" s="1362"/>
      <c r="Q74" s="1362"/>
      <c r="R74" s="1362"/>
      <c r="T74" s="1362"/>
      <c r="V74" s="1362"/>
      <c r="W74" s="1362"/>
      <c r="X74" s="1362"/>
      <c r="Y74" s="1362"/>
      <c r="Z74" s="1362"/>
      <c r="AA74" s="1362"/>
      <c r="AB74" s="1362"/>
    </row>
    <row r="75" spans="1:28" s="1364" customFormat="1">
      <c r="A75" s="1471" t="s">
        <v>138</v>
      </c>
      <c r="B75" s="1471" t="s">
        <v>257</v>
      </c>
      <c r="C75" s="1469" t="str">
        <f>CONCATENATE(-(C96-D96)," cran(s)")</f>
        <v>-1 cran(s)</v>
      </c>
      <c r="D75" s="1469"/>
      <c r="E75" s="1470"/>
      <c r="F75" s="1503" t="str">
        <f>CONCATENATE(-(J96-K96)," cran(s)")</f>
        <v>-3 cran(s)</v>
      </c>
      <c r="G75" s="1469"/>
      <c r="H75" s="1470"/>
      <c r="I75" s="1485"/>
      <c r="J75" s="1437" t="s">
        <v>540</v>
      </c>
      <c r="K75" s="1470"/>
      <c r="L75" s="1361"/>
      <c r="M75" s="1361"/>
      <c r="N75" s="1362"/>
      <c r="O75" s="1362"/>
      <c r="P75" s="1362"/>
      <c r="Q75" s="1362"/>
      <c r="R75" s="1362"/>
      <c r="T75" s="1362"/>
      <c r="V75" s="1362"/>
      <c r="W75" s="1362"/>
      <c r="X75" s="1362"/>
      <c r="Y75" s="1362"/>
      <c r="Z75" s="1362"/>
      <c r="AA75" s="1362"/>
      <c r="AB75" s="1362"/>
    </row>
    <row r="76" spans="1:28" s="1364" customFormat="1">
      <c r="A76" s="1459" t="s">
        <v>14</v>
      </c>
      <c r="B76" s="1459" t="s">
        <v>15</v>
      </c>
      <c r="C76" s="1472">
        <f t="shared" ref="C76:C83" si="1">C107-D107</f>
        <v>1.6477324840764203E-3</v>
      </c>
      <c r="D76" s="1469">
        <f>D104</f>
        <v>0.4</v>
      </c>
      <c r="E76" s="1497">
        <f>C76*D76</f>
        <v>6.5909299363056814E-4</v>
      </c>
      <c r="F76" s="1501">
        <f>J107-K107</f>
        <v>9.9715350318471292E-3</v>
      </c>
      <c r="G76" s="1469">
        <f>G85</f>
        <v>0.25</v>
      </c>
      <c r="H76" s="1470">
        <f>F76*G76</f>
        <v>2.4928837579617823E-3</v>
      </c>
      <c r="I76" s="1472"/>
      <c r="J76" s="1437" t="s">
        <v>172</v>
      </c>
      <c r="K76" s="1437"/>
      <c r="L76" s="1361"/>
      <c r="M76" s="1361"/>
      <c r="N76" s="1362"/>
      <c r="O76" s="1362"/>
      <c r="P76" s="1362"/>
      <c r="Q76" s="1362"/>
      <c r="R76" s="1362"/>
      <c r="T76" s="1362"/>
      <c r="V76" s="1362"/>
      <c r="W76" s="1362"/>
      <c r="X76" s="1362"/>
      <c r="Y76" s="1362"/>
      <c r="Z76" s="1362"/>
      <c r="AA76" s="1362"/>
      <c r="AB76" s="1362"/>
    </row>
    <row r="77" spans="1:28" s="1364" customFormat="1">
      <c r="A77" s="471" t="s">
        <v>318</v>
      </c>
      <c r="B77" s="471" t="s">
        <v>145</v>
      </c>
      <c r="C77" s="1422">
        <f t="shared" si="1"/>
        <v>-5.0000000000000001E-4</v>
      </c>
      <c r="D77" s="1432">
        <f>D104</f>
        <v>0.4</v>
      </c>
      <c r="E77" s="1434">
        <f>C77*D77</f>
        <v>-2.0000000000000001E-4</v>
      </c>
      <c r="F77" s="1502">
        <f>C77</f>
        <v>-5.0000000000000001E-4</v>
      </c>
      <c r="G77" s="1432">
        <f>G85</f>
        <v>0.25</v>
      </c>
      <c r="H77" s="1434">
        <f>F77*G77</f>
        <v>-1.25E-4</v>
      </c>
      <c r="I77" s="1422"/>
      <c r="J77" s="1437" t="s">
        <v>172</v>
      </c>
      <c r="K77" s="1437"/>
      <c r="L77" s="1361"/>
      <c r="M77" s="1361"/>
      <c r="N77" s="1362"/>
      <c r="O77" s="1362"/>
      <c r="P77" s="1362"/>
      <c r="Q77" s="1362"/>
      <c r="R77" s="1362"/>
      <c r="T77" s="1362"/>
      <c r="V77" s="1362"/>
      <c r="W77" s="1362"/>
      <c r="X77" s="1362"/>
      <c r="Y77" s="1362"/>
      <c r="Z77" s="1362"/>
      <c r="AA77" s="1362"/>
      <c r="AB77" s="1362"/>
    </row>
    <row r="78" spans="1:28" s="1364" customFormat="1">
      <c r="A78" s="1459" t="s">
        <v>346</v>
      </c>
      <c r="B78" s="1459" t="s">
        <v>389</v>
      </c>
      <c r="C78" s="1469">
        <f t="shared" si="1"/>
        <v>-0.59287748736225598</v>
      </c>
      <c r="D78" s="459"/>
      <c r="E78" s="1470"/>
      <c r="F78" s="1503">
        <f t="shared" ref="F78:F83" si="2">J109-K109</f>
        <v>-3.6035259211366526</v>
      </c>
      <c r="G78" s="459"/>
      <c r="H78" s="1470"/>
      <c r="I78" s="1469"/>
      <c r="J78" s="1516"/>
      <c r="K78" s="1516"/>
      <c r="L78" s="1361"/>
      <c r="M78" s="1361"/>
      <c r="N78" s="1362"/>
      <c r="O78" s="1362"/>
      <c r="P78" s="1362"/>
      <c r="Q78" s="1362"/>
      <c r="R78" s="1362"/>
      <c r="T78" s="1362"/>
      <c r="V78" s="1362"/>
      <c r="W78" s="1362"/>
      <c r="X78" s="1362"/>
      <c r="Y78" s="1362"/>
      <c r="Z78" s="1362"/>
      <c r="AA78" s="1362"/>
      <c r="AB78" s="1362"/>
    </row>
    <row r="79" spans="1:28" s="1364" customFormat="1">
      <c r="A79" s="891"/>
      <c r="B79" s="895" t="s">
        <v>5</v>
      </c>
      <c r="C79" s="1426">
        <f t="shared" si="1"/>
        <v>3.9369381220739685E-2</v>
      </c>
      <c r="D79" s="1514">
        <f>-D86*D97*D102</f>
        <v>-1.17402211786093E-2</v>
      </c>
      <c r="E79" s="1435">
        <f>C79*D79</f>
        <v>-4.622052431964713E-4</v>
      </c>
      <c r="F79" s="1504">
        <f t="shared" si="2"/>
        <v>0.2518492723823938</v>
      </c>
      <c r="G79" s="1514">
        <f>-G86*K97*K102</f>
        <v>-1.4675276473261625E-2</v>
      </c>
      <c r="H79" s="1435">
        <f>F79*G79</f>
        <v>-3.6959577018014023E-3</v>
      </c>
      <c r="I79" s="1663"/>
      <c r="J79" s="1515" t="s">
        <v>542</v>
      </c>
      <c r="K79" s="1515"/>
      <c r="L79" s="1361"/>
      <c r="M79" s="1361"/>
      <c r="N79" s="1362"/>
      <c r="O79" s="1362"/>
      <c r="P79" s="1362"/>
      <c r="Q79" s="1362"/>
      <c r="R79" s="1362"/>
      <c r="T79" s="1362"/>
      <c r="V79" s="1362"/>
      <c r="W79" s="1362"/>
      <c r="X79" s="1362"/>
      <c r="Y79" s="1362"/>
      <c r="Z79" s="1362"/>
      <c r="AA79" s="1362"/>
      <c r="AB79" s="1362"/>
    </row>
    <row r="80" spans="1:28" s="1364" customFormat="1">
      <c r="A80" s="1471" t="s">
        <v>390</v>
      </c>
      <c r="B80" s="1471" t="s">
        <v>11</v>
      </c>
      <c r="C80" s="1486">
        <f t="shared" si="1"/>
        <v>2.1323086894125209E-2</v>
      </c>
      <c r="D80" s="1486">
        <f>D82*(1+(1-D97)*D105)</f>
        <v>6.8720042417815472E-2</v>
      </c>
      <c r="E80" s="1470">
        <f>C80*D80</f>
        <v>1.4653234358430495E-3</v>
      </c>
      <c r="F80" s="1505">
        <f t="shared" si="2"/>
        <v>-1.0764733204011723E-3</v>
      </c>
      <c r="G80" s="1486">
        <f>G82*(1+(1-K97)*K105)</f>
        <v>7.2775053022269359E-2</v>
      </c>
      <c r="H80" s="1661">
        <f>F80*G80</f>
        <v>-7.8340402969253667E-5</v>
      </c>
      <c r="I80" s="1486"/>
      <c r="J80" s="1460" t="s">
        <v>569</v>
      </c>
      <c r="K80" s="1460"/>
      <c r="L80" s="1361"/>
      <c r="M80" s="1361"/>
      <c r="N80" s="1362"/>
      <c r="O80" s="1362"/>
      <c r="P80" s="1362"/>
      <c r="Q80" s="1362"/>
      <c r="R80" s="1362"/>
      <c r="T80" s="1362"/>
      <c r="V80" s="1362"/>
      <c r="W80" s="1362"/>
      <c r="X80" s="1362"/>
      <c r="Y80" s="1362"/>
      <c r="Z80" s="1362"/>
      <c r="AA80" s="1362"/>
      <c r="AB80" s="1362"/>
    </row>
    <row r="81" spans="1:28" s="1364" customFormat="1">
      <c r="A81" s="1459" t="s">
        <v>342</v>
      </c>
      <c r="B81" s="1459" t="s">
        <v>343</v>
      </c>
      <c r="C81" s="1486">
        <f t="shared" si="1"/>
        <v>0.22151118186029947</v>
      </c>
      <c r="D81" s="1486">
        <f>-D82*(1-D97)*D105</f>
        <v>-2.1000000000000001E-2</v>
      </c>
      <c r="E81" s="1470">
        <f>C81*D81</f>
        <v>-4.651734819066289E-3</v>
      </c>
      <c r="F81" s="1505">
        <f t="shared" si="2"/>
        <v>0.29832216062752187</v>
      </c>
      <c r="G81" s="1486">
        <f>-G82*(1-K97)*K105</f>
        <v>-1.3125E-2</v>
      </c>
      <c r="H81" s="1470">
        <f>F81*G81</f>
        <v>-3.9154783582362246E-3</v>
      </c>
      <c r="I81" s="1486"/>
      <c r="J81" s="1512" t="s">
        <v>619</v>
      </c>
      <c r="K81" s="1517"/>
      <c r="L81" s="1361"/>
      <c r="M81" s="1361"/>
      <c r="N81" s="1362"/>
      <c r="O81" s="1362"/>
      <c r="P81" s="1362"/>
      <c r="Q81" s="1362"/>
      <c r="R81" s="1362"/>
      <c r="T81" s="1362"/>
      <c r="V81" s="1362"/>
      <c r="W81" s="1362"/>
      <c r="X81" s="1362"/>
      <c r="Y81" s="1362"/>
      <c r="Z81" s="1362"/>
      <c r="AA81" s="1362"/>
      <c r="AB81" s="1362"/>
    </row>
    <row r="82" spans="1:28" s="1364" customFormat="1">
      <c r="A82" s="1471" t="s">
        <v>12</v>
      </c>
      <c r="B82" s="1471" t="s">
        <v>147</v>
      </c>
      <c r="C82" s="1486">
        <f t="shared" si="1"/>
        <v>-5.2414373128700897E-2</v>
      </c>
      <c r="D82" s="1486">
        <f>D86*D100</f>
        <v>4.7720042417815481E-2</v>
      </c>
      <c r="E82" s="1470">
        <f>C82*D82</f>
        <v>-2.5012161090048148E-3</v>
      </c>
      <c r="F82" s="1505">
        <f t="shared" si="2"/>
        <v>1.0869714155122723E-2</v>
      </c>
      <c r="G82" s="1486">
        <f>G86*K100</f>
        <v>5.9650053022269355E-2</v>
      </c>
      <c r="H82" s="1470">
        <f>F82*G82</f>
        <v>6.4837902568998219E-4</v>
      </c>
      <c r="I82" s="1486"/>
      <c r="J82" s="1460" t="s">
        <v>618</v>
      </c>
      <c r="K82" s="1460"/>
      <c r="L82" s="1361"/>
      <c r="M82" s="1361"/>
      <c r="N82" s="1362"/>
      <c r="O82" s="1362"/>
      <c r="P82" s="1362"/>
      <c r="Q82" s="1362"/>
      <c r="R82" s="1362"/>
      <c r="T82" s="1362"/>
      <c r="V82" s="1362"/>
      <c r="W82" s="1362"/>
      <c r="X82" s="1362"/>
      <c r="Y82" s="1362"/>
      <c r="Z82" s="1362"/>
      <c r="AA82" s="1362"/>
      <c r="AB82" s="1362"/>
    </row>
    <row r="83" spans="1:28" s="1364" customFormat="1">
      <c r="A83" s="471" t="s">
        <v>179</v>
      </c>
      <c r="B83" s="893" t="s">
        <v>319</v>
      </c>
      <c r="C83" s="1428">
        <f t="shared" si="1"/>
        <v>-3.3333333333333326E-2</v>
      </c>
      <c r="D83" s="1428">
        <f>D86*D101</f>
        <v>0</v>
      </c>
      <c r="E83" s="1434">
        <f>C83*D83</f>
        <v>0</v>
      </c>
      <c r="F83" s="1506">
        <f t="shared" si="2"/>
        <v>6.6666666666666652E-2</v>
      </c>
      <c r="G83" s="1428">
        <f>G86*K101</f>
        <v>0</v>
      </c>
      <c r="H83" s="1434">
        <f>F83*G83</f>
        <v>0</v>
      </c>
      <c r="I83" s="1428"/>
      <c r="J83" s="1460" t="s">
        <v>541</v>
      </c>
      <c r="K83" s="1460"/>
      <c r="L83" s="1361"/>
      <c r="M83" s="1361"/>
      <c r="N83" s="1362"/>
      <c r="O83" s="1362"/>
      <c r="P83" s="1362"/>
      <c r="Q83" s="1362"/>
      <c r="R83" s="1362"/>
      <c r="T83" s="1362"/>
      <c r="V83" s="1362"/>
      <c r="W83" s="1362"/>
      <c r="X83" s="1362"/>
      <c r="Y83" s="1362"/>
      <c r="Z83" s="1362"/>
      <c r="AA83" s="1362"/>
      <c r="AB83" s="1362"/>
    </row>
    <row r="84" spans="1:28" s="1364" customFormat="1">
      <c r="A84" s="452"/>
      <c r="B84" s="452"/>
      <c r="C84" s="455"/>
      <c r="D84" s="1433"/>
      <c r="E84" s="1436"/>
      <c r="F84" s="1507"/>
      <c r="G84" s="1508"/>
      <c r="H84" s="1542"/>
      <c r="I84" s="1421"/>
      <c r="J84" s="1431"/>
      <c r="K84" s="1431"/>
      <c r="L84" s="1361"/>
      <c r="M84" s="1361"/>
      <c r="N84" s="1362"/>
      <c r="O84" s="1362"/>
      <c r="P84" s="1362"/>
      <c r="Q84" s="1362"/>
      <c r="R84" s="1362"/>
      <c r="T84" s="1362"/>
      <c r="V84" s="1362"/>
      <c r="W84" s="1362"/>
      <c r="X84" s="1362"/>
      <c r="Y84" s="1362"/>
      <c r="Z84" s="1362"/>
      <c r="AA84" s="1362"/>
      <c r="AB84" s="1362"/>
    </row>
    <row r="85" spans="1:28" s="1364" customFormat="1">
      <c r="A85" s="1467" t="s">
        <v>314</v>
      </c>
      <c r="B85" s="1487" t="s">
        <v>258</v>
      </c>
      <c r="C85" s="1468">
        <f>C116-D116</f>
        <v>-1.2549112196684975E-2</v>
      </c>
      <c r="D85" s="1482">
        <f>D104</f>
        <v>0.4</v>
      </c>
      <c r="E85" s="1483">
        <f>C85*D85</f>
        <v>-5.0196448786739905E-3</v>
      </c>
      <c r="F85" s="1509">
        <f>J116-K116</f>
        <v>-4.2253096489142661E-3</v>
      </c>
      <c r="G85" s="1482">
        <f>K104</f>
        <v>0.25</v>
      </c>
      <c r="H85" s="1483">
        <f>F85*G85</f>
        <v>-1.0563274122285665E-3</v>
      </c>
      <c r="I85" s="1472"/>
      <c r="J85" s="1460" t="s">
        <v>172</v>
      </c>
      <c r="K85" s="1460"/>
      <c r="L85" s="1361"/>
      <c r="M85" s="1361"/>
      <c r="N85" s="1362"/>
      <c r="O85" s="1362"/>
      <c r="P85" s="1362"/>
      <c r="Q85" s="1362"/>
      <c r="R85" s="1362"/>
      <c r="T85" s="1362"/>
      <c r="V85" s="1362"/>
      <c r="W85" s="1362"/>
      <c r="X85" s="1362"/>
      <c r="Y85" s="1362"/>
      <c r="Z85" s="1362"/>
      <c r="AA85" s="1362"/>
      <c r="AB85" s="1362"/>
    </row>
    <row r="86" spans="1:28" s="1364" customFormat="1">
      <c r="A86" s="1488" t="s">
        <v>313</v>
      </c>
      <c r="B86" s="1489" t="s">
        <v>320</v>
      </c>
      <c r="C86" s="1490">
        <f>C117-D117</f>
        <v>-1.0268067600740755E-2</v>
      </c>
      <c r="D86" s="1491">
        <f>(1-D104)/(1-D97)</f>
        <v>0.90895318891077104</v>
      </c>
      <c r="E86" s="1475">
        <f>C86*D86</f>
        <v>-9.3331927896446783E-3</v>
      </c>
      <c r="F86" s="1510">
        <f>J117-K117</f>
        <v>-6.9953954151772274E-3</v>
      </c>
      <c r="G86" s="1491">
        <f>(1-K104)/(1-K97)</f>
        <v>1.1361914861384639</v>
      </c>
      <c r="H86" s="1475">
        <f>F86*G86</f>
        <v>-7.9481087128964109E-3</v>
      </c>
      <c r="I86" s="1472"/>
      <c r="J86" s="1571" t="s">
        <v>602</v>
      </c>
      <c r="K86" s="1460"/>
      <c r="L86" s="1361"/>
      <c r="M86" s="1361"/>
      <c r="N86" s="1362"/>
      <c r="O86" s="1362"/>
      <c r="P86" s="1362"/>
      <c r="Q86" s="1362"/>
      <c r="R86" s="1362"/>
      <c r="T86" s="1362"/>
      <c r="V86" s="1362"/>
      <c r="W86" s="1362"/>
      <c r="X86" s="1362"/>
      <c r="Y86" s="1362"/>
      <c r="Z86" s="1362"/>
      <c r="AA86" s="1362"/>
      <c r="AB86" s="1362"/>
    </row>
    <row r="87" spans="1:28" s="1364" customFormat="1">
      <c r="A87" s="1492" t="s">
        <v>321</v>
      </c>
      <c r="B87" s="1493" t="s">
        <v>259</v>
      </c>
      <c r="C87" s="1468">
        <f>C118-D118</f>
        <v>-1.5690207804973447E-2</v>
      </c>
      <c r="D87" s="1482"/>
      <c r="E87" s="1483"/>
      <c r="F87" s="1509">
        <f>J118-K118</f>
        <v>-1.8787801300540946E-2</v>
      </c>
      <c r="G87" s="1482"/>
      <c r="H87" s="1483"/>
      <c r="I87" s="1472"/>
      <c r="J87" s="1431"/>
      <c r="K87" s="1431"/>
      <c r="L87" s="1361"/>
      <c r="M87" s="1361"/>
      <c r="N87" s="1362"/>
      <c r="O87" s="1362"/>
      <c r="P87" s="1362"/>
      <c r="Q87" s="1362"/>
      <c r="R87" s="1362"/>
      <c r="T87" s="1362"/>
      <c r="V87" s="1362"/>
      <c r="W87" s="1362"/>
      <c r="X87" s="1362"/>
      <c r="Y87" s="1362"/>
      <c r="Z87" s="1362"/>
      <c r="AA87" s="1362"/>
      <c r="AB87" s="1362"/>
    </row>
    <row r="88" spans="1:28" s="1364" customFormat="1">
      <c r="A88" s="1473" t="s">
        <v>393</v>
      </c>
      <c r="B88" s="1473" t="s">
        <v>515</v>
      </c>
      <c r="C88" s="1494">
        <f>C119-D119</f>
        <v>-9.1758183886665561E-4</v>
      </c>
      <c r="D88" s="1595">
        <v>-1</v>
      </c>
      <c r="E88" s="1475">
        <f>C88*D88</f>
        <v>9.1758183886665561E-4</v>
      </c>
      <c r="F88" s="1511">
        <f>J119-K119</f>
        <v>3.8947106125047232E-4</v>
      </c>
      <c r="G88" s="1595">
        <v>-1</v>
      </c>
      <c r="H88" s="1475">
        <f>F88*G88</f>
        <v>-3.8947106125047232E-4</v>
      </c>
      <c r="I88" s="1472"/>
      <c r="J88" s="1460" t="s">
        <v>617</v>
      </c>
      <c r="K88" s="1431"/>
      <c r="L88" s="1361"/>
      <c r="M88" s="1361"/>
      <c r="N88" s="1362"/>
      <c r="O88" s="1362"/>
      <c r="P88" s="1362"/>
      <c r="Q88" s="1362"/>
      <c r="R88" s="1362"/>
      <c r="T88" s="1362"/>
      <c r="V88" s="1362"/>
      <c r="W88" s="1362"/>
      <c r="X88" s="1362"/>
      <c r="Y88" s="1362"/>
      <c r="Z88" s="1362"/>
      <c r="AA88" s="1362"/>
      <c r="AB88" s="1362"/>
    </row>
    <row r="89" spans="1:28" s="1519" customFormat="1">
      <c r="A89" s="1529" t="s">
        <v>518</v>
      </c>
      <c r="B89" s="1530"/>
      <c r="C89" s="1534">
        <f>C73</f>
        <v>1.9999999999999962E-2</v>
      </c>
      <c r="D89" s="1533">
        <f>-1/(1-D97)*D117+D116</f>
        <v>-6.9874715952128463E-2</v>
      </c>
      <c r="E89" s="1479">
        <f>C89*D89</f>
        <v>-1.3974943190425667E-3</v>
      </c>
      <c r="F89" s="1535">
        <f>F73</f>
        <v>0.16999999999999998</v>
      </c>
      <c r="G89" s="1533">
        <f>-1/(1-K97)*K117+K116</f>
        <v>-6.3921375549159221E-2</v>
      </c>
      <c r="H89" s="1479">
        <f>F89*G89</f>
        <v>-1.0866633843357067E-2</v>
      </c>
      <c r="I89" s="1484"/>
      <c r="J89" s="1512" t="s">
        <v>604</v>
      </c>
      <c r="K89" s="1517"/>
      <c r="L89" s="1528"/>
      <c r="M89" s="1528"/>
    </row>
    <row r="90" spans="1:28" s="1364" customFormat="1">
      <c r="A90" s="760" t="s">
        <v>383</v>
      </c>
      <c r="B90" s="1551" t="s">
        <v>384</v>
      </c>
      <c r="C90" s="874">
        <f>(1-C97)*C104/(1-C104)*C112</f>
        <v>0.10588310876088472</v>
      </c>
      <c r="D90" s="874"/>
      <c r="E90" s="874">
        <f>(1-E97)*E104/(1-E104)*E112</f>
        <v>0.17422795071493752</v>
      </c>
      <c r="F90" s="874">
        <f>(1-F97)*F104/(1-F104)*F112</f>
        <v>8.2372831122212456E-2</v>
      </c>
      <c r="G90" s="874"/>
      <c r="H90" s="874">
        <f>(1-H97)*H104/(1-H104)*H112</f>
        <v>0.14259902147706105</v>
      </c>
      <c r="I90" s="874"/>
      <c r="J90" s="1428"/>
      <c r="K90" s="1428"/>
      <c r="L90" s="1361"/>
      <c r="M90" s="1361"/>
      <c r="N90" s="1362"/>
      <c r="O90" s="1362"/>
      <c r="P90" s="1362"/>
      <c r="Q90" s="1362"/>
      <c r="R90" s="1362"/>
      <c r="T90" s="1362"/>
      <c r="V90" s="1362"/>
      <c r="W90" s="1362"/>
      <c r="X90" s="1362"/>
      <c r="Y90" s="1362"/>
      <c r="Z90" s="1362"/>
      <c r="AA90" s="1362"/>
      <c r="AB90" s="1362"/>
    </row>
    <row r="91" spans="1:28" s="1364" customFormat="1">
      <c r="A91" s="471" t="s">
        <v>512</v>
      </c>
      <c r="B91" s="1552" t="s">
        <v>513</v>
      </c>
      <c r="C91" s="892">
        <f t="shared" ref="C91:H91" si="3">C104*C107/C120</f>
        <v>8.5951073836045125E-2</v>
      </c>
      <c r="D91" s="892">
        <f t="shared" si="3"/>
        <v>6.2420812827341715E-2</v>
      </c>
      <c r="E91" s="892">
        <f t="shared" si="3"/>
        <v>0.23325399395889584</v>
      </c>
      <c r="F91" s="892">
        <f t="shared" si="3"/>
        <v>7.0584625069248341E-2</v>
      </c>
      <c r="G91" s="892">
        <f t="shared" si="3"/>
        <v>4.2892582978584066E-2</v>
      </c>
      <c r="H91" s="892">
        <f t="shared" si="3"/>
        <v>0.11865105536787382</v>
      </c>
      <c r="I91" s="892"/>
      <c r="J91" s="892"/>
      <c r="K91" s="892"/>
      <c r="L91" s="1361"/>
      <c r="M91" s="1361"/>
      <c r="N91" s="1362"/>
      <c r="O91" s="1362"/>
      <c r="P91" s="1362"/>
      <c r="Q91" s="1362"/>
      <c r="R91" s="1362"/>
      <c r="T91" s="1362"/>
      <c r="V91" s="1362"/>
      <c r="W91" s="1362"/>
      <c r="X91" s="1362"/>
      <c r="Y91" s="1362"/>
      <c r="Z91" s="1362"/>
      <c r="AA91" s="1362"/>
      <c r="AB91" s="1362"/>
    </row>
    <row r="92" spans="1:28" s="1364" customFormat="1">
      <c r="A92" s="459"/>
      <c r="B92" s="459"/>
      <c r="C92" s="459"/>
      <c r="D92" s="459"/>
      <c r="E92" s="459"/>
      <c r="F92" s="459"/>
      <c r="G92" s="459"/>
      <c r="H92" s="459"/>
      <c r="I92" s="459"/>
      <c r="J92" s="459"/>
      <c r="K92" s="459"/>
      <c r="M92" s="1532"/>
      <c r="Q92" s="1362"/>
      <c r="R92" s="1362"/>
      <c r="T92" s="1362"/>
      <c r="V92" s="1362"/>
      <c r="W92" s="1362"/>
      <c r="X92" s="1362"/>
      <c r="Y92" s="1362"/>
      <c r="Z92" s="1362"/>
      <c r="AA92" s="1362"/>
      <c r="AB92" s="1362"/>
    </row>
    <row r="93" spans="1:28" s="1364" customFormat="1">
      <c r="A93" s="459"/>
      <c r="B93" s="459"/>
      <c r="C93" s="459"/>
      <c r="D93" s="459"/>
      <c r="E93" s="459"/>
      <c r="F93" s="459"/>
      <c r="G93" s="459"/>
      <c r="H93" s="459"/>
      <c r="I93" s="459"/>
      <c r="J93" s="459"/>
      <c r="K93" s="459"/>
      <c r="M93" s="1532"/>
      <c r="Q93" s="1362"/>
      <c r="R93" s="1362"/>
      <c r="T93" s="1362"/>
      <c r="V93" s="1362"/>
      <c r="W93" s="1362"/>
      <c r="X93" s="1362"/>
      <c r="Y93" s="1362"/>
      <c r="Z93" s="1362"/>
      <c r="AA93" s="1362"/>
      <c r="AB93" s="1362"/>
    </row>
    <row r="94" spans="1:28" s="1364" customFormat="1">
      <c r="A94" s="1438" t="s">
        <v>601</v>
      </c>
      <c r="B94" s="460"/>
      <c r="C94" s="461" t="s">
        <v>405</v>
      </c>
      <c r="D94" s="461"/>
      <c r="E94" s="463"/>
      <c r="F94" s="458"/>
      <c r="G94" s="458"/>
      <c r="H94" s="460"/>
      <c r="I94" s="460"/>
      <c r="J94" s="460"/>
      <c r="K94" s="460"/>
      <c r="L94" s="1361"/>
      <c r="R94" s="1362"/>
      <c r="T94" s="1362"/>
      <c r="V94" s="1362"/>
      <c r="W94" s="1362"/>
      <c r="X94" s="1362"/>
      <c r="Y94" s="1362"/>
      <c r="Z94" s="1362"/>
      <c r="AA94" s="1362"/>
      <c r="AB94" s="1362"/>
    </row>
    <row r="95" spans="1:28" s="1364" customFormat="1">
      <c r="A95" s="1459"/>
      <c r="B95" s="460"/>
      <c r="C95" s="461"/>
      <c r="D95" s="461"/>
      <c r="E95" s="463"/>
      <c r="F95" s="458"/>
      <c r="G95" s="458"/>
      <c r="H95" s="460"/>
      <c r="I95" s="460"/>
      <c r="J95" s="460"/>
      <c r="K95" s="460"/>
      <c r="L95" s="1361"/>
      <c r="R95" s="1362"/>
      <c r="T95" s="1362"/>
      <c r="V95" s="1362"/>
      <c r="W95" s="1362"/>
      <c r="X95" s="1362"/>
      <c r="Y95" s="1362"/>
      <c r="Z95" s="1362"/>
      <c r="AA95" s="1362"/>
      <c r="AB95" s="1362"/>
    </row>
    <row r="96" spans="1:28">
      <c r="A96" s="886" t="s">
        <v>388</v>
      </c>
      <c r="B96" s="1568" t="s">
        <v>257</v>
      </c>
      <c r="C96" s="1569">
        <f>VLOOKUP(C106,'FINAL BIPT &amp; Cullen 2014'!$C$102:$D$112,2,FALSE)</f>
        <v>4</v>
      </c>
      <c r="D96" s="1569">
        <f>VLOOKUP(D106,'FINAL BIPT &amp; Cullen 2014'!$C$102:$D$112,2,FALSE)</f>
        <v>3</v>
      </c>
      <c r="E96" s="1569">
        <f>VLOOKUP(E106,'FINAL BIPT &amp; Cullen 2014'!$C$102:$D$112,2,FALSE)</f>
        <v>8</v>
      </c>
      <c r="F96" s="1569">
        <f>VLOOKUP(F106,'FINAL BIPT &amp; Cullen 2014'!$C$102:$D$112,2,FALSE)</f>
        <v>2</v>
      </c>
      <c r="G96" s="1569">
        <f>VLOOKUP(G106,'FINAL BIPT &amp; Cullen 2014'!$C$102:$D$112,2,FALSE)</f>
        <v>1</v>
      </c>
      <c r="H96" s="1569">
        <f>VLOOKUP(H106,'FINAL BIPT &amp; Cullen 2014'!$C$102:$D$112,2,FALSE)</f>
        <v>5</v>
      </c>
      <c r="I96" s="1569">
        <f>VLOOKUP(I106,'FINAL BIPT &amp; Cullen 2014'!$C$102:$D$112,2,FALSE)</f>
        <v>2</v>
      </c>
      <c r="J96" s="1569">
        <f>VLOOKUP(J106,'FINAL BIPT &amp; Cullen 2014'!$C$102:$D$112,2,FALSE)</f>
        <v>5</v>
      </c>
      <c r="K96" s="1569">
        <f>VLOOKUP(K106,'FINAL BIPT &amp; Cullen 2014'!$C$102:$D$112,2,FALSE)</f>
        <v>2</v>
      </c>
      <c r="L96" s="1370"/>
      <c r="S96" s="931"/>
      <c r="U96" s="931"/>
    </row>
    <row r="97" spans="1:21">
      <c r="A97" s="468" t="s">
        <v>312</v>
      </c>
      <c r="B97" s="468" t="s">
        <v>10</v>
      </c>
      <c r="C97" s="440">
        <f>'FINAL BIPT &amp; Cullen 2014'!$J$7</f>
        <v>0.33989999999999998</v>
      </c>
      <c r="D97" s="444">
        <f>'FINAL BIPT &amp; Cullen 2014'!$U7</f>
        <v>0.33989999999999998</v>
      </c>
      <c r="E97" s="444">
        <f>'FINAL BIPT &amp; Cullen 2014'!$G$7</f>
        <v>0.33989999999999998</v>
      </c>
      <c r="F97" s="444">
        <f>'FINAL BIPT &amp; Cullen 2014'!$D$7</f>
        <v>0.33989999999999998</v>
      </c>
      <c r="G97" s="444">
        <f>'FINAL BIPT &amp; Cullen 2014'!$U7</f>
        <v>0.33989999999999998</v>
      </c>
      <c r="H97" s="444">
        <f>'FINAL BIPT &amp; Cullen 2014'!$M$7</f>
        <v>0.33989999999999998</v>
      </c>
      <c r="I97" s="444">
        <f>'FINAL BIPT &amp; Cullen 2014'!$U7</f>
        <v>0.33989999999999998</v>
      </c>
      <c r="J97" s="444">
        <f>'FINAL BIPT &amp; Cullen 2014'!$P$7</f>
        <v>0.33989999999999998</v>
      </c>
      <c r="K97" s="444">
        <f>'FINAL BIPT &amp; Cullen 2014'!$U7</f>
        <v>0.33989999999999998</v>
      </c>
      <c r="L97" s="1370"/>
      <c r="S97" s="931"/>
      <c r="U97" s="931"/>
    </row>
    <row r="98" spans="1:21">
      <c r="A98" s="469" t="s">
        <v>317</v>
      </c>
      <c r="B98" s="469"/>
      <c r="C98" s="470" t="str">
        <f>'FINAL BIPT &amp; Cullen 2014'!$J$2</f>
        <v>10Y</v>
      </c>
      <c r="D98" s="471" t="str">
        <f>'FINAL BIPT &amp; Cullen 2014'!$U2</f>
        <v>10Y</v>
      </c>
      <c r="E98" s="472" t="str">
        <f>'FINAL BIPT &amp; Cullen 2014'!$G$2</f>
        <v>10Y</v>
      </c>
      <c r="F98" s="472" t="str">
        <f>'FINAL BIPT &amp; Cullen 2014'!$D$2</f>
        <v>10Y</v>
      </c>
      <c r="G98" s="473" t="str">
        <f>'FINAL BIPT &amp; Cullen 2014'!$U2</f>
        <v>10Y</v>
      </c>
      <c r="H98" s="472" t="str">
        <f>'FINAL BIPT &amp; Cullen 2014'!$M$2</f>
        <v>10Y</v>
      </c>
      <c r="I98" s="473" t="str">
        <f>'FINAL BIPT &amp; Cullen 2014'!$U2</f>
        <v>10Y</v>
      </c>
      <c r="J98" s="472" t="str">
        <f>'FINAL BIPT &amp; Cullen 2014'!$P$2</f>
        <v>10Y</v>
      </c>
      <c r="K98" s="473" t="str">
        <f>'FINAL BIPT &amp; Cullen 2014'!$U2</f>
        <v>10Y</v>
      </c>
      <c r="L98" s="1370"/>
      <c r="S98" s="931"/>
      <c r="U98" s="931"/>
    </row>
    <row r="99" spans="1:21">
      <c r="A99" s="464" t="s">
        <v>7</v>
      </c>
      <c r="B99" s="464" t="s">
        <v>0</v>
      </c>
      <c r="C99" s="437">
        <f>'FINAL BIPT &amp; Cullen 2014'!$J$3</f>
        <v>2.6303155319238606E-2</v>
      </c>
      <c r="D99" s="441">
        <f>'FINAL BIPT &amp; Cullen 2014'!$U3</f>
        <v>0.04</v>
      </c>
      <c r="E99" s="443">
        <f>'FINAL BIPT &amp; Cullen 2014'!$G$3</f>
        <v>2.6303155319238606E-2</v>
      </c>
      <c r="F99" s="443">
        <f>'FINAL BIPT &amp; Cullen 2014'!$D$3</f>
        <v>2.6303155319238606E-2</v>
      </c>
      <c r="G99" s="443">
        <f>'FINAL BIPT &amp; Cullen 2014'!$U3</f>
        <v>0.04</v>
      </c>
      <c r="H99" s="443">
        <f>'FINAL BIPT &amp; Cullen 2014'!$M$3</f>
        <v>2.6303155319238606E-2</v>
      </c>
      <c r="I99" s="443">
        <f>'FINAL BIPT &amp; Cullen 2014'!$U3</f>
        <v>0.04</v>
      </c>
      <c r="J99" s="443">
        <f>'FINAL BIPT &amp; Cullen 2014'!$P$3</f>
        <v>2.6303155319238606E-2</v>
      </c>
      <c r="K99" s="443">
        <f>'FINAL BIPT &amp; Cullen 2014'!$U3</f>
        <v>0.04</v>
      </c>
      <c r="L99" s="1370"/>
      <c r="S99" s="931"/>
      <c r="U99" s="931"/>
    </row>
    <row r="100" spans="1:21">
      <c r="A100" s="464" t="s">
        <v>8</v>
      </c>
      <c r="B100" s="464" t="s">
        <v>132</v>
      </c>
      <c r="C100" s="437">
        <f>'FINAL BIPT &amp; Cullen 2014'!$J$5</f>
        <v>5.3854791237840642E-2</v>
      </c>
      <c r="D100" s="441">
        <f>'FINAL BIPT &amp; Cullen 2014'!$U5</f>
        <v>5.2499999999999998E-2</v>
      </c>
      <c r="E100" s="443">
        <f>'FINAL BIPT &amp; Cullen 2014'!$G$5</f>
        <v>5.3854791237840642E-2</v>
      </c>
      <c r="F100" s="443">
        <f>'FINAL BIPT &amp; Cullen 2014'!$D$5</f>
        <v>5.3854791237840642E-2</v>
      </c>
      <c r="G100" s="443">
        <f>'FINAL BIPT &amp; Cullen 2014'!$U5</f>
        <v>5.2499999999999998E-2</v>
      </c>
      <c r="H100" s="443">
        <f>'FINAL BIPT &amp; Cullen 2014'!$M$5</f>
        <v>5.3854791237840642E-2</v>
      </c>
      <c r="I100" s="443">
        <f>'FINAL BIPT &amp; Cullen 2014'!$U5</f>
        <v>5.2499999999999998E-2</v>
      </c>
      <c r="J100" s="443">
        <f>'FINAL BIPT &amp; Cullen 2014'!$P$5</f>
        <v>5.3854791237840642E-2</v>
      </c>
      <c r="K100" s="443">
        <f>'FINAL BIPT &amp; Cullen 2014'!$U5</f>
        <v>5.2499999999999998E-2</v>
      </c>
      <c r="L100" s="1370"/>
      <c r="S100" s="931"/>
      <c r="U100" s="931"/>
    </row>
    <row r="101" spans="1:21">
      <c r="A101" s="464" t="s">
        <v>316</v>
      </c>
      <c r="B101" s="464" t="s">
        <v>134</v>
      </c>
      <c r="C101" s="437">
        <f>'FINAL BIPT &amp; Cullen 2014'!$J$4</f>
        <v>6.4031868806607058E-3</v>
      </c>
      <c r="D101" s="441"/>
      <c r="E101" s="443">
        <f>'FINAL BIPT &amp; Cullen 2014'!$G$4</f>
        <v>6.4031868806607058E-3</v>
      </c>
      <c r="F101" s="443">
        <f>'FINAL BIPT &amp; Cullen 2014'!$D$4</f>
        <v>6.4031868806607058E-3</v>
      </c>
      <c r="G101" s="443"/>
      <c r="H101" s="443">
        <f>'FINAL BIPT &amp; Cullen 2014'!$M$4</f>
        <v>6.4031868806607058E-3</v>
      </c>
      <c r="I101" s="443"/>
      <c r="J101" s="443">
        <f>'FINAL BIPT &amp; Cullen 2014'!$P$4</f>
        <v>6.4031868806607058E-3</v>
      </c>
      <c r="K101" s="443"/>
      <c r="L101" s="1370"/>
      <c r="S101" s="931"/>
      <c r="U101" s="931"/>
    </row>
    <row r="102" spans="1:21">
      <c r="A102" s="477" t="s">
        <v>382</v>
      </c>
      <c r="B102" s="475" t="s">
        <v>4</v>
      </c>
      <c r="C102" s="437">
        <f>'FINAL BIPT &amp; Cullen 2014'!$J$31</f>
        <v>2.2699083104395609E-2</v>
      </c>
      <c r="D102" s="441">
        <f>'FINAL BIPT &amp; Cullen 2014'!V31</f>
        <v>3.7999999999999999E-2</v>
      </c>
      <c r="E102" s="443">
        <f>'FINAL BIPT &amp; Cullen 2014'!$G$31</f>
        <v>2.2699083104395609E-2</v>
      </c>
      <c r="F102" s="443">
        <f>'FINAL BIPT &amp; Cullen 2014'!$D$31</f>
        <v>2.2699083104395609E-2</v>
      </c>
      <c r="G102" s="443">
        <f>'FINAL BIPT &amp; Cullen 2014'!U31</f>
        <v>3.7999999999999999E-2</v>
      </c>
      <c r="H102" s="443">
        <f>'FINAL BIPT &amp; Cullen 2014'!$M$31</f>
        <v>2.2699083104395609E-2</v>
      </c>
      <c r="I102" s="443">
        <f>'FINAL BIPT &amp; Cullen 2014'!X31</f>
        <v>3.7999999999999999E-2</v>
      </c>
      <c r="J102" s="443">
        <f>'FINAL BIPT &amp; Cullen 2014'!$P$31</f>
        <v>2.2699083104395609E-2</v>
      </c>
      <c r="K102" s="443">
        <f>'FINAL BIPT &amp; Cullen 2014'!Y31</f>
        <v>3.7999999999999999E-2</v>
      </c>
      <c r="L102" s="1370"/>
      <c r="S102" s="931"/>
      <c r="U102" s="931"/>
    </row>
    <row r="103" spans="1:21">
      <c r="A103" s="886" t="s">
        <v>391</v>
      </c>
      <c r="B103" s="464"/>
      <c r="C103" s="466" t="s">
        <v>311</v>
      </c>
      <c r="D103" s="1256" t="s">
        <v>323</v>
      </c>
      <c r="E103" s="467" t="s">
        <v>137</v>
      </c>
      <c r="F103" s="467" t="s">
        <v>315</v>
      </c>
      <c r="G103" s="1256" t="s">
        <v>407</v>
      </c>
      <c r="H103" s="467" t="s">
        <v>2</v>
      </c>
      <c r="I103" s="1256" t="s">
        <v>408</v>
      </c>
      <c r="J103" s="466" t="s">
        <v>76</v>
      </c>
      <c r="K103" s="1256" t="s">
        <v>322</v>
      </c>
      <c r="L103" s="1370"/>
      <c r="S103" s="931"/>
      <c r="U103" s="931"/>
    </row>
    <row r="104" spans="1:21">
      <c r="A104" s="474" t="s">
        <v>347</v>
      </c>
      <c r="B104" s="474" t="s">
        <v>172</v>
      </c>
      <c r="C104" s="888">
        <f>'FINAL BIPT &amp; Cullen 2014'!$J$11</f>
        <v>0.42</v>
      </c>
      <c r="D104" s="1257">
        <f>'FINAL BIPT &amp; Cullen 2014'!V11</f>
        <v>0.4</v>
      </c>
      <c r="E104" s="888">
        <f>'FINAL BIPT &amp; Cullen 2014'!G11</f>
        <v>0.42</v>
      </c>
      <c r="F104" s="888">
        <f>'FINAL BIPT &amp; Cullen 2014'!D11</f>
        <v>0.42</v>
      </c>
      <c r="G104" s="1257">
        <f>'FINAL BIPT &amp; Cullen 2014'!U11</f>
        <v>0.32</v>
      </c>
      <c r="H104" s="888">
        <f>'FINAL BIPT &amp; Cullen 2014'!M11</f>
        <v>0.42</v>
      </c>
      <c r="I104" s="1257">
        <f>'FINAL BIPT &amp; Cullen 2014'!X11</f>
        <v>0.25</v>
      </c>
      <c r="J104" s="888">
        <f>'FINAL BIPT &amp; Cullen 2014'!$P$11</f>
        <v>0.42</v>
      </c>
      <c r="K104" s="1257">
        <f>'FINAL BIPT &amp; Cullen 2014'!Y11</f>
        <v>0.25</v>
      </c>
      <c r="L104" s="1370"/>
      <c r="S104" s="931"/>
      <c r="U104" s="931"/>
    </row>
    <row r="105" spans="1:21">
      <c r="A105" s="464"/>
      <c r="B105" s="464" t="s">
        <v>364</v>
      </c>
      <c r="C105" s="880">
        <f t="shared" ref="C105:K105" si="4">C104/(1-C104)</f>
        <v>0.72413793103448265</v>
      </c>
      <c r="D105" s="1258">
        <f t="shared" si="4"/>
        <v>0.66666666666666674</v>
      </c>
      <c r="E105" s="880">
        <f t="shared" si="4"/>
        <v>0.72413793103448265</v>
      </c>
      <c r="F105" s="880">
        <f t="shared" si="4"/>
        <v>0.72413793103448265</v>
      </c>
      <c r="G105" s="1258">
        <f t="shared" si="4"/>
        <v>0.4705882352941177</v>
      </c>
      <c r="H105" s="880">
        <f t="shared" si="4"/>
        <v>0.72413793103448265</v>
      </c>
      <c r="I105" s="1258">
        <f t="shared" si="4"/>
        <v>0.33333333333333331</v>
      </c>
      <c r="J105" s="880">
        <f>J104/(1-J104)</f>
        <v>0.72413793103448265</v>
      </c>
      <c r="K105" s="1258">
        <f t="shared" si="4"/>
        <v>0.33333333333333331</v>
      </c>
      <c r="L105" s="1370"/>
      <c r="S105" s="931"/>
      <c r="U105" s="931"/>
    </row>
    <row r="106" spans="1:21">
      <c r="A106" s="464" t="s">
        <v>138</v>
      </c>
      <c r="B106" s="464"/>
      <c r="C106" s="534" t="str">
        <f>'FINAL BIPT &amp; Cullen 2014'!$J$14</f>
        <v>BBB</v>
      </c>
      <c r="D106" s="1259" t="str">
        <f>'FINAL BIPT &amp; Cullen 2014'!V14</f>
        <v>BBB+</v>
      </c>
      <c r="E106" s="535" t="str">
        <f>'FINAL BIPT &amp; Cullen 2014'!G14</f>
        <v>BB-</v>
      </c>
      <c r="F106" s="535" t="str">
        <f>'FINAL BIPT &amp; Cullen 2014'!D14</f>
        <v>A-</v>
      </c>
      <c r="G106" s="1259" t="str">
        <f>'FINAL BIPT &amp; Cullen 2014'!U14</f>
        <v>A</v>
      </c>
      <c r="H106" s="535" t="str">
        <f>'FINAL BIPT &amp; Cullen 2014'!M14</f>
        <v>BBB-</v>
      </c>
      <c r="I106" s="1259" t="str">
        <f>'FINAL BIPT &amp; Cullen 2014'!X14</f>
        <v>A-</v>
      </c>
      <c r="J106" s="535" t="str">
        <f>'FINAL BIPT &amp; Cullen 2014'!$P$14</f>
        <v>BBB-</v>
      </c>
      <c r="K106" s="1259" t="str">
        <f>'FINAL BIPT &amp; Cullen 2014'!Y14</f>
        <v>A-</v>
      </c>
      <c r="L106" s="1370"/>
      <c r="S106" s="931"/>
      <c r="U106" s="931"/>
    </row>
    <row r="107" spans="1:21">
      <c r="A107" s="531" t="s">
        <v>14</v>
      </c>
      <c r="B107" s="531" t="s">
        <v>15</v>
      </c>
      <c r="C107" s="437">
        <f t="shared" ref="C107:K107" si="5">C116-C108-C99</f>
        <v>1.664773248407642E-2</v>
      </c>
      <c r="D107" s="1259">
        <f t="shared" si="5"/>
        <v>1.4999999999999999E-2</v>
      </c>
      <c r="E107" s="437">
        <f t="shared" si="5"/>
        <v>5.2040844585987248E-2</v>
      </c>
      <c r="F107" s="437">
        <f t="shared" si="5"/>
        <v>1.2381910828025474E-2</v>
      </c>
      <c r="G107" s="1259">
        <f t="shared" si="5"/>
        <v>1.2999999999999998E-2</v>
      </c>
      <c r="H107" s="437">
        <f t="shared" si="5"/>
        <v>2.2971535031847127E-2</v>
      </c>
      <c r="I107" s="1259">
        <f t="shared" si="5"/>
        <v>1.2999999999999998E-2</v>
      </c>
      <c r="J107" s="437">
        <f>J116-J108-J99</f>
        <v>2.2971535031847127E-2</v>
      </c>
      <c r="K107" s="1259">
        <f t="shared" si="5"/>
        <v>1.2999999999999998E-2</v>
      </c>
      <c r="L107" s="1370"/>
      <c r="S107" s="931"/>
      <c r="U107" s="931"/>
    </row>
    <row r="108" spans="1:21">
      <c r="A108" s="464" t="s">
        <v>318</v>
      </c>
      <c r="B108" s="464" t="s">
        <v>145</v>
      </c>
      <c r="C108" s="437">
        <f>'FINAL BIPT &amp; Cullen 2014'!$J$16</f>
        <v>1.5E-3</v>
      </c>
      <c r="D108" s="1260">
        <f>'FINAL BIPT &amp; Cullen 2014'!V16</f>
        <v>2E-3</v>
      </c>
      <c r="E108" s="443">
        <f>'FINAL BIPT &amp; Cullen 2014'!G16</f>
        <v>1.5E-3</v>
      </c>
      <c r="F108" s="443">
        <f>'FINAL BIPT &amp; Cullen 2014'!D16</f>
        <v>1.5E-3</v>
      </c>
      <c r="G108" s="443">
        <f>'FINAL BIPT &amp; Cullen 2014'!U16</f>
        <v>2E-3</v>
      </c>
      <c r="H108" s="443">
        <f>'FINAL BIPT &amp; Cullen 2014'!M16</f>
        <v>1.5E-3</v>
      </c>
      <c r="I108" s="443">
        <f>'FINAL BIPT &amp; Cullen 2014'!X16</f>
        <v>2E-3</v>
      </c>
      <c r="J108" s="443">
        <f>'FINAL BIPT &amp; Cullen 2014'!$P$16</f>
        <v>1.5E-3</v>
      </c>
      <c r="K108" s="443">
        <f>'FINAL BIPT &amp; Cullen 2014'!Y16</f>
        <v>2E-3</v>
      </c>
      <c r="L108" s="1370"/>
      <c r="S108" s="931"/>
      <c r="U108" s="931"/>
    </row>
    <row r="109" spans="1:21">
      <c r="A109" s="531" t="s">
        <v>346</v>
      </c>
      <c r="B109" s="531" t="s">
        <v>389</v>
      </c>
      <c r="C109" s="536">
        <f>'FINAL BIPT &amp; Cullen 2014'!$J$35</f>
        <v>3.5955056179775271</v>
      </c>
      <c r="D109" s="1261">
        <f>'FINAL BIPT &amp; Cullen 2014'!V35</f>
        <v>4.1883831053397831</v>
      </c>
      <c r="E109" s="536">
        <f>'FINAL BIPT &amp; Cullen 2014'!G35</f>
        <v>5.8426966292134832</v>
      </c>
      <c r="F109" s="536">
        <f>'FINAL BIPT &amp; Cullen 2014'!D35</f>
        <v>3.595505617977528</v>
      </c>
      <c r="G109" s="1261">
        <f>'FINAL BIPT &amp; Cullen 2014'!U35</f>
        <v>4.1883831053397831</v>
      </c>
      <c r="H109" s="536">
        <f>'FINAL BIPT &amp; Cullen 2014'!M35</f>
        <v>2.3880597014925371</v>
      </c>
      <c r="I109" s="1261">
        <f>'FINAL BIPT &amp; Cullen 2014'!X35</f>
        <v>5.9915856226291897</v>
      </c>
      <c r="J109" s="536">
        <f>'FINAL BIPT &amp; Cullen 2014'!$P$35</f>
        <v>2.3880597014925371</v>
      </c>
      <c r="K109" s="1261">
        <f>'FINAL BIPT &amp; Cullen 2014'!Y35</f>
        <v>5.9915856226291897</v>
      </c>
      <c r="L109" s="1370"/>
      <c r="S109" s="931"/>
      <c r="U109" s="931"/>
    </row>
    <row r="110" spans="1:21">
      <c r="A110" s="452"/>
      <c r="B110" s="531" t="s">
        <v>5</v>
      </c>
      <c r="C110" s="890">
        <f>1/C109</f>
        <v>0.27812500000000007</v>
      </c>
      <c r="D110" s="1262">
        <f t="shared" ref="D110:K110" si="6">1/D109</f>
        <v>0.23875561877926038</v>
      </c>
      <c r="E110" s="890">
        <f t="shared" si="6"/>
        <v>0.17115384615384616</v>
      </c>
      <c r="F110" s="890">
        <f t="shared" si="6"/>
        <v>0.27812500000000001</v>
      </c>
      <c r="G110" s="1262">
        <f t="shared" si="6"/>
        <v>0.23875561877926038</v>
      </c>
      <c r="H110" s="890">
        <f t="shared" si="6"/>
        <v>0.41875000000000001</v>
      </c>
      <c r="I110" s="1262">
        <f t="shared" si="6"/>
        <v>0.16690072761760621</v>
      </c>
      <c r="J110" s="890">
        <f t="shared" si="6"/>
        <v>0.41875000000000001</v>
      </c>
      <c r="K110" s="1262">
        <f t="shared" si="6"/>
        <v>0.16690072761760621</v>
      </c>
      <c r="L110" s="1383"/>
      <c r="S110" s="931"/>
      <c r="U110" s="931"/>
    </row>
    <row r="111" spans="1:21">
      <c r="A111" s="870" t="s">
        <v>390</v>
      </c>
      <c r="B111" s="870" t="s">
        <v>11</v>
      </c>
      <c r="C111" s="871">
        <f>'FINAL BIPT &amp; Cullen 2014'!$J$20</f>
        <v>0.6</v>
      </c>
      <c r="D111" s="1263">
        <f>'FINAL BIPT &amp; Cullen 2014'!V20</f>
        <v>0.57867691310587477</v>
      </c>
      <c r="E111" s="871">
        <f>'FINAL BIPT &amp; Cullen 2014'!G20</f>
        <v>0.6</v>
      </c>
      <c r="F111" s="871">
        <f>'FINAL BIPT &amp; Cullen 2014'!D20</f>
        <v>0.5</v>
      </c>
      <c r="G111" s="1263">
        <f>'FINAL BIPT &amp; Cullen 2014'!U20</f>
        <v>0.58346199418333278</v>
      </c>
      <c r="H111" s="871">
        <f>'FINAL BIPT &amp; Cullen 2014'!M20</f>
        <v>0.6</v>
      </c>
      <c r="I111" s="1263">
        <f>'FINAL BIPT &amp; Cullen 2014'!X20</f>
        <v>0.6120051364716812</v>
      </c>
      <c r="J111" s="871">
        <f>'FINAL BIPT &amp; Cullen 2014'!$P$20</f>
        <v>0.6</v>
      </c>
      <c r="K111" s="1263">
        <f>'FINAL BIPT &amp; Cullen 2014'!Y20</f>
        <v>0.60107647332040115</v>
      </c>
      <c r="L111" s="1370"/>
      <c r="S111" s="931"/>
      <c r="U111" s="931"/>
    </row>
    <row r="112" spans="1:21">
      <c r="A112" s="531" t="s">
        <v>342</v>
      </c>
      <c r="B112" s="531" t="s">
        <v>343</v>
      </c>
      <c r="C112" s="439">
        <f>'FINAL BIPT &amp; Cullen 2014'!$J$22</f>
        <v>0.22151118186029947</v>
      </c>
      <c r="D112" s="1264"/>
      <c r="E112" s="439">
        <f>'FINAL BIPT &amp; Cullen 2014'!G22</f>
        <v>0.36449099131684154</v>
      </c>
      <c r="F112" s="439">
        <f>'FINAL BIPT &amp; Cullen 2014'!D22</f>
        <v>0.17232685542191742</v>
      </c>
      <c r="G112" s="1264"/>
      <c r="H112" s="439">
        <f>'FINAL BIPT &amp; Cullen 2014'!M22</f>
        <v>0.29832216062752187</v>
      </c>
      <c r="I112" s="1264"/>
      <c r="J112" s="439">
        <f>'FINAL BIPT &amp; Cullen 2014'!$P$22</f>
        <v>0.29832216062752187</v>
      </c>
      <c r="K112" s="1264"/>
      <c r="L112" s="1370"/>
      <c r="S112" s="931"/>
      <c r="U112" s="931"/>
    </row>
    <row r="113" spans="1:28">
      <c r="A113" s="464" t="s">
        <v>12</v>
      </c>
      <c r="B113" s="464" t="s">
        <v>147</v>
      </c>
      <c r="C113" s="439">
        <f>'FINAL BIPT &amp; Cullen 2014'!$J$23</f>
        <v>0.78091896020463247</v>
      </c>
      <c r="D113" s="1264">
        <f>'FINAL BIPT &amp; Cullen 2014'!V23</f>
        <v>0.83333333333333337</v>
      </c>
      <c r="E113" s="439">
        <f>'FINAL BIPT &amp; Cullen 2014'!G23</f>
        <v>0.71257411825057959</v>
      </c>
      <c r="F113" s="439">
        <f>'FINAL BIPT &amp; Cullen 2014'!D23</f>
        <v>0.65662889301571847</v>
      </c>
      <c r="G113" s="1264">
        <f>'FINAL BIPT &amp; Cullen 2014'!U23</f>
        <v>0.76470588235294124</v>
      </c>
      <c r="H113" s="439">
        <f>'FINAL BIPT &amp; Cullen 2014'!M23</f>
        <v>0.74420304748845612</v>
      </c>
      <c r="I113" s="1264">
        <f>'FINAL BIPT &amp; Cullen 2014'!X23</f>
        <v>0.7466666666666667</v>
      </c>
      <c r="J113" s="439">
        <f>'FINAL BIPT &amp; Cullen 2014'!$P$23</f>
        <v>0.74420304748845612</v>
      </c>
      <c r="K113" s="1264">
        <f>'FINAL BIPT &amp; Cullen 2014'!Y23</f>
        <v>0.73333333333333339</v>
      </c>
      <c r="L113" s="1370"/>
      <c r="S113" s="931"/>
      <c r="U113" s="931"/>
    </row>
    <row r="114" spans="1:28">
      <c r="A114" s="464" t="s">
        <v>179</v>
      </c>
      <c r="B114" s="476" t="s">
        <v>319</v>
      </c>
      <c r="C114" s="439">
        <f>'FINAL BIPT &amp; Cullen 2014'!$J$24</f>
        <v>0.8</v>
      </c>
      <c r="D114" s="445">
        <f>D113</f>
        <v>0.83333333333333337</v>
      </c>
      <c r="E114" s="439">
        <f>'FINAL BIPT &amp; Cullen 2014'!G24</f>
        <v>0.8</v>
      </c>
      <c r="F114" s="439">
        <f>'FINAL BIPT &amp; Cullen 2014'!D24</f>
        <v>0.8</v>
      </c>
      <c r="G114" s="445">
        <f>G113</f>
        <v>0.76470588235294124</v>
      </c>
      <c r="H114" s="439">
        <f>'FINAL BIPT &amp; Cullen 2014'!M24</f>
        <v>0.8</v>
      </c>
      <c r="I114" s="445">
        <f>I113</f>
        <v>0.7466666666666667</v>
      </c>
      <c r="J114" s="439">
        <f>'FINAL BIPT &amp; Cullen 2014'!$P$24</f>
        <v>0.8</v>
      </c>
      <c r="K114" s="445">
        <f>K113</f>
        <v>0.73333333333333339</v>
      </c>
      <c r="L114" s="1370"/>
      <c r="S114" s="931"/>
      <c r="U114" s="931"/>
    </row>
    <row r="115" spans="1:28">
      <c r="A115" s="886" t="s">
        <v>392</v>
      </c>
      <c r="B115" s="476"/>
      <c r="C115" s="439"/>
      <c r="D115" s="1264"/>
      <c r="E115" s="439"/>
      <c r="F115" s="439"/>
      <c r="G115" s="1264"/>
      <c r="H115" s="439"/>
      <c r="I115" s="1264"/>
      <c r="J115" s="439"/>
      <c r="K115" s="1264"/>
      <c r="L115" s="1370"/>
      <c r="S115" s="931"/>
      <c r="U115" s="931"/>
    </row>
    <row r="116" spans="1:28">
      <c r="A116" s="474" t="s">
        <v>314</v>
      </c>
      <c r="B116" s="474" t="s">
        <v>258</v>
      </c>
      <c r="C116" s="446">
        <f>'FINAL BIPT &amp; Cullen 2014'!$J$17</f>
        <v>4.4450887803315027E-2</v>
      </c>
      <c r="D116" s="1265">
        <f>'FINAL BIPT &amp; Cullen 2014'!V17</f>
        <v>5.7000000000000002E-2</v>
      </c>
      <c r="E116" s="438">
        <f>'FINAL BIPT &amp; Cullen 2014'!G17</f>
        <v>7.9843999905225851E-2</v>
      </c>
      <c r="F116" s="438">
        <f>'FINAL BIPT &amp; Cullen 2014'!D17</f>
        <v>4.0185066147264081E-2</v>
      </c>
      <c r="G116" s="1270">
        <f>'FINAL BIPT &amp; Cullen 2014'!U17</f>
        <v>5.5E-2</v>
      </c>
      <c r="H116" s="438">
        <f>'FINAL BIPT &amp; Cullen 2014'!M17</f>
        <v>5.0774690351085734E-2</v>
      </c>
      <c r="I116" s="1270">
        <f>'FINAL BIPT &amp; Cullen 2014'!X17</f>
        <v>5.5E-2</v>
      </c>
      <c r="J116" s="446">
        <f>'FINAL BIPT &amp; Cullen 2014'!$P$17</f>
        <v>5.0774690351085734E-2</v>
      </c>
      <c r="K116" s="1265">
        <f>'FINAL BIPT &amp; Cullen 2014'!Y17</f>
        <v>5.5E-2</v>
      </c>
      <c r="L116" s="1370"/>
      <c r="S116" s="931"/>
      <c r="U116" s="931"/>
    </row>
    <row r="117" spans="1:28">
      <c r="A117" s="464" t="s">
        <v>313</v>
      </c>
      <c r="B117" s="464" t="s">
        <v>320</v>
      </c>
      <c r="C117" s="447">
        <f>'FINAL BIPT &amp; Cullen 2014'!$J$25</f>
        <v>7.3481932399259237E-2</v>
      </c>
      <c r="D117" s="1266">
        <f>'FINAL BIPT &amp; Cullen 2014'!V25</f>
        <v>8.3749999999999991E-2</v>
      </c>
      <c r="E117" s="437">
        <f>'FINAL BIPT &amp; Cullen 2014'!G25</f>
        <v>6.980123520364051E-2</v>
      </c>
      <c r="F117" s="437">
        <f>'FINAL BIPT &amp; Cullen 2014'!D25</f>
        <v>6.6788316777863094E-2</v>
      </c>
      <c r="G117" s="1268">
        <f>'FINAL BIPT &amp; Cullen 2014'!U25</f>
        <v>8.0147058823529405E-2</v>
      </c>
      <c r="H117" s="437">
        <f>'FINAL BIPT &amp; Cullen 2014'!M25</f>
        <v>7.1504604584822773E-2</v>
      </c>
      <c r="I117" s="1268">
        <f>'FINAL BIPT &amp; Cullen 2014'!X25</f>
        <v>7.9199999999999993E-2</v>
      </c>
      <c r="J117" s="447">
        <f>'FINAL BIPT &amp; Cullen 2014'!$P$25</f>
        <v>7.1504604584822773E-2</v>
      </c>
      <c r="K117" s="1266">
        <f>'FINAL BIPT &amp; Cullen 2014'!Y25</f>
        <v>7.85E-2</v>
      </c>
      <c r="L117" s="1370"/>
      <c r="S117" s="931"/>
      <c r="U117" s="931"/>
    </row>
    <row r="118" spans="1:28">
      <c r="A118" s="870" t="s">
        <v>321</v>
      </c>
      <c r="B118" s="870" t="s">
        <v>259</v>
      </c>
      <c r="C118" s="872">
        <f>'FINAL BIPT &amp; Cullen 2014'!$J$28</f>
        <v>8.3234621766303626E-2</v>
      </c>
      <c r="D118" s="1267">
        <f>'FINAL BIPT &amp; Cullen 2014'!V28</f>
        <v>9.8924829571277073E-2</v>
      </c>
      <c r="E118" s="873">
        <f>'FINAL BIPT &amp; Cullen 2014'!G28</f>
        <v>9.4865666777512681E-2</v>
      </c>
      <c r="F118" s="873">
        <f>'FINAL BIPT &amp; Cullen 2014'!D28</f>
        <v>7.5561599515164946E-2</v>
      </c>
      <c r="G118" s="1271">
        <f>'FINAL BIPT &amp; Cullen 2014'!U28</f>
        <v>0.10016324799272837</v>
      </c>
      <c r="H118" s="873">
        <f>'FINAL BIPT &amp; Cullen 2014'!M28</f>
        <v>8.4153230361328463E-2</v>
      </c>
      <c r="I118" s="1271">
        <f>'FINAL BIPT &amp; Cullen 2014'!X28</f>
        <v>0.10373636570216634</v>
      </c>
      <c r="J118" s="872">
        <f>'FINAL BIPT &amp; Cullen 2014'!$P$28</f>
        <v>8.4153230361328463E-2</v>
      </c>
      <c r="K118" s="1267">
        <f>'FINAL BIPT &amp; Cullen 2014'!Y28</f>
        <v>0.10294103166186941</v>
      </c>
      <c r="L118" s="1370"/>
      <c r="S118" s="931"/>
      <c r="U118" s="931"/>
    </row>
    <row r="119" spans="1:28">
      <c r="A119" s="464" t="s">
        <v>393</v>
      </c>
      <c r="B119" s="464" t="s">
        <v>267</v>
      </c>
      <c r="C119" s="437">
        <f>'FINAL BIPT &amp; Cullen 2014'!$J$36</f>
        <v>1.8854619332375855E-3</v>
      </c>
      <c r="D119" s="1268">
        <f>'FINAL BIPT &amp; Cullen 2014'!V36</f>
        <v>2.8030437721042411E-3</v>
      </c>
      <c r="E119" s="437">
        <f>'FINAL BIPT &amp; Cullen 2014'!G36</f>
        <v>1.1602842666077447E-3</v>
      </c>
      <c r="F119" s="437">
        <f>'FINAL BIPT &amp; Cullen 2014'!D36</f>
        <v>1.885461933237585E-3</v>
      </c>
      <c r="G119" s="1268">
        <f>'FINAL BIPT &amp; Cullen 2014'!U36</f>
        <v>3.1767829417181392E-3</v>
      </c>
      <c r="H119" s="437">
        <f>'FINAL BIPT &amp; Cullen 2014'!M36</f>
        <v>2.8387853826273754E-3</v>
      </c>
      <c r="I119" s="1268">
        <f>'FINAL BIPT &amp; Cullen 2014'!X36</f>
        <v>2.4493143213769031E-3</v>
      </c>
      <c r="J119" s="437">
        <f>'FINAL BIPT &amp; Cullen 2014'!$P$36</f>
        <v>2.8387853826273754E-3</v>
      </c>
      <c r="K119" s="1268">
        <f>'FINAL BIPT &amp; Cullen 2014'!Y36</f>
        <v>2.4493143213769031E-3</v>
      </c>
      <c r="L119" s="1370"/>
      <c r="S119" s="931"/>
      <c r="U119" s="931"/>
    </row>
    <row r="120" spans="1:28">
      <c r="A120" s="464" t="s">
        <v>497</v>
      </c>
      <c r="B120" s="464" t="s">
        <v>281</v>
      </c>
      <c r="C120" s="447">
        <f>'FINAL BIPT &amp; Cullen 2014'!$J$38</f>
        <v>8.1349159833066037E-2</v>
      </c>
      <c r="D120" s="1266">
        <f>'FINAL BIPT &amp; Cullen 2014'!V38</f>
        <v>9.6121785799172826E-2</v>
      </c>
      <c r="E120" s="437">
        <f>'FINAL BIPT &amp; Cullen 2014'!G38</f>
        <v>9.3705382510904933E-2</v>
      </c>
      <c r="F120" s="437">
        <f>'FINAL BIPT &amp; Cullen 2014'!D38</f>
        <v>7.3676137581927356E-2</v>
      </c>
      <c r="G120" s="1268">
        <f>'FINAL BIPT &amp; Cullen 2014'!U38</f>
        <v>9.6986465051010232E-2</v>
      </c>
      <c r="H120" s="437">
        <f>'FINAL BIPT &amp; Cullen 2014'!M38</f>
        <v>8.1314444978701092E-2</v>
      </c>
      <c r="I120" s="1268">
        <f>'FINAL BIPT &amp; Cullen 2014'!X38</f>
        <v>0.10128705138078943</v>
      </c>
      <c r="J120" s="447">
        <f>'FINAL BIPT &amp; Cullen 2014'!$P$38</f>
        <v>8.1314444978701092E-2</v>
      </c>
      <c r="K120" s="1266">
        <f>'FINAL BIPT &amp; Cullen 2014'!Y38</f>
        <v>0.1004917173404925</v>
      </c>
      <c r="L120" s="1384"/>
      <c r="S120" s="931"/>
      <c r="U120" s="931"/>
    </row>
    <row r="121" spans="1:28">
      <c r="A121" s="1272" t="s">
        <v>406</v>
      </c>
      <c r="B121" s="1273"/>
      <c r="C121" s="1274">
        <f>C120-D120</f>
        <v>-1.4772625966106789E-2</v>
      </c>
      <c r="D121" s="1275"/>
      <c r="E121" s="1273"/>
      <c r="F121" s="1276">
        <f>F120-G120</f>
        <v>-2.3310327469082875E-2</v>
      </c>
      <c r="G121" s="1275"/>
      <c r="H121" s="1276">
        <f>H120-I120</f>
        <v>-1.9972606402088339E-2</v>
      </c>
      <c r="I121" s="1275"/>
      <c r="J121" s="1274">
        <f>J120-K120</f>
        <v>-1.9177272361791411E-2</v>
      </c>
      <c r="K121" s="1275"/>
      <c r="L121" s="1384"/>
      <c r="S121" s="931"/>
      <c r="U121" s="931"/>
    </row>
    <row r="122" spans="1:28">
      <c r="A122" s="464"/>
      <c r="B122" s="465"/>
      <c r="C122" s="898"/>
      <c r="D122" s="1269"/>
      <c r="E122" s="465"/>
      <c r="F122" s="899"/>
      <c r="G122" s="1269"/>
      <c r="H122" s="899"/>
      <c r="I122" s="1269"/>
      <c r="J122" s="898"/>
      <c r="K122" s="1269"/>
      <c r="L122" s="1384"/>
      <c r="M122" s="1365"/>
      <c r="N122" s="1370"/>
      <c r="O122" s="1370"/>
      <c r="S122" s="931"/>
      <c r="U122" s="931"/>
    </row>
    <row r="123" spans="1:28">
      <c r="A123" s="1365"/>
      <c r="B123" s="1366"/>
      <c r="C123" s="1367"/>
      <c r="D123" s="1368"/>
      <c r="E123" s="1367"/>
      <c r="F123" s="1367"/>
      <c r="G123" s="1369"/>
      <c r="H123" s="1367"/>
      <c r="I123" s="1369"/>
      <c r="J123" s="1367"/>
      <c r="K123" s="1368"/>
      <c r="S123" s="931"/>
      <c r="U123" s="931"/>
    </row>
    <row r="124" spans="1:28">
      <c r="A124" s="764" t="s">
        <v>326</v>
      </c>
      <c r="B124" s="764"/>
      <c r="C124" s="761"/>
      <c r="D124" s="762"/>
      <c r="E124" s="762"/>
      <c r="F124" s="452"/>
      <c r="G124" s="762"/>
      <c r="H124" s="763"/>
      <c r="I124" s="763"/>
      <c r="J124" s="763"/>
      <c r="K124" s="763"/>
      <c r="L124" s="1385"/>
      <c r="M124" s="1035"/>
      <c r="N124" s="1035"/>
      <c r="O124" s="1035"/>
      <c r="P124" s="1035"/>
      <c r="Q124" s="1035"/>
      <c r="R124" s="1035"/>
      <c r="S124" s="455"/>
      <c r="T124" s="1035"/>
      <c r="U124" s="455"/>
      <c r="V124" s="1035"/>
      <c r="W124" s="1035"/>
      <c r="X124" s="1035"/>
      <c r="Y124" s="1035"/>
      <c r="Z124" s="1035"/>
      <c r="AA124" s="1035"/>
      <c r="AB124" s="1035"/>
    </row>
    <row r="125" spans="1:28">
      <c r="A125" s="762"/>
      <c r="B125" s="762"/>
      <c r="C125" s="762"/>
      <c r="D125" s="762"/>
      <c r="E125" s="762"/>
      <c r="F125" s="762"/>
      <c r="G125" s="762"/>
      <c r="H125" s="763"/>
      <c r="I125" s="763"/>
      <c r="J125" s="763"/>
      <c r="K125" s="763"/>
      <c r="L125" s="1385"/>
      <c r="M125" s="1035"/>
      <c r="N125" s="1035"/>
      <c r="O125" s="1035"/>
      <c r="P125" s="1035"/>
      <c r="Q125" s="1035"/>
      <c r="R125" s="1035"/>
      <c r="S125" s="455"/>
      <c r="T125" s="1035"/>
      <c r="U125" s="455"/>
      <c r="V125" s="1035"/>
      <c r="W125" s="1035"/>
      <c r="X125" s="1035"/>
      <c r="Y125" s="1035"/>
      <c r="Z125" s="1035"/>
      <c r="AA125" s="1035"/>
      <c r="AB125" s="1035"/>
    </row>
    <row r="126" spans="1:28">
      <c r="A126" s="765" t="s">
        <v>19</v>
      </c>
      <c r="B126" s="765"/>
      <c r="C126" s="452"/>
      <c r="D126" s="455"/>
      <c r="E126" s="766" t="s">
        <v>327</v>
      </c>
      <c r="F126" s="762"/>
      <c r="G126" s="762"/>
      <c r="H126" s="763"/>
      <c r="I126" s="763"/>
      <c r="J126" s="763"/>
      <c r="K126" s="763"/>
      <c r="L126" s="1385"/>
      <c r="M126" s="455"/>
      <c r="N126" s="1035"/>
      <c r="O126" s="1035"/>
      <c r="P126" s="1035"/>
      <c r="Q126" s="1035"/>
      <c r="R126" s="1035"/>
      <c r="S126" s="455"/>
      <c r="T126" s="1035"/>
      <c r="U126" s="455"/>
      <c r="V126" s="1035"/>
      <c r="W126" s="1035"/>
      <c r="X126" s="1035"/>
      <c r="Y126" s="1035"/>
      <c r="Z126" s="1035"/>
      <c r="AA126" s="1035"/>
      <c r="AB126" s="1035"/>
    </row>
    <row r="127" spans="1:28">
      <c r="A127" s="762"/>
      <c r="B127" s="762"/>
      <c r="C127" s="762"/>
      <c r="D127" s="762"/>
      <c r="E127" s="762"/>
      <c r="F127" s="762"/>
      <c r="G127" s="762"/>
      <c r="H127" s="762"/>
      <c r="I127" s="762"/>
      <c r="J127" s="762"/>
      <c r="K127" s="762"/>
      <c r="L127" s="1377"/>
      <c r="M127" s="1035"/>
      <c r="N127" s="1035"/>
      <c r="O127" s="1035"/>
      <c r="P127" s="1035"/>
      <c r="Q127" s="1035"/>
      <c r="R127" s="1035"/>
      <c r="S127" s="455"/>
      <c r="T127" s="1035"/>
      <c r="U127" s="455"/>
      <c r="V127" s="1035"/>
      <c r="W127" s="1035"/>
      <c r="X127" s="1035"/>
      <c r="Y127" s="1035"/>
      <c r="Z127" s="1035"/>
      <c r="AA127" s="1035"/>
      <c r="AB127" s="1035"/>
    </row>
    <row r="128" spans="1:28">
      <c r="A128" s="762"/>
      <c r="B128" s="762"/>
      <c r="C128" s="762"/>
      <c r="D128" s="762"/>
      <c r="E128" s="762"/>
      <c r="F128" s="762"/>
      <c r="G128" s="762"/>
      <c r="H128" s="762"/>
      <c r="I128" s="762"/>
      <c r="J128" s="762"/>
      <c r="K128" s="762"/>
      <c r="L128" s="1377"/>
      <c r="M128" s="1035"/>
      <c r="N128" s="1035"/>
      <c r="O128" s="1035"/>
      <c r="P128" s="1035"/>
      <c r="Q128" s="1035"/>
      <c r="R128" s="1035"/>
      <c r="S128" s="455"/>
      <c r="T128" s="1035"/>
      <c r="U128" s="455"/>
      <c r="V128" s="1035"/>
      <c r="W128" s="1035"/>
      <c r="X128" s="1035"/>
      <c r="Y128" s="1035"/>
      <c r="Z128" s="1035"/>
      <c r="AA128" s="1035"/>
      <c r="AB128" s="1035"/>
    </row>
    <row r="129" spans="1:28">
      <c r="A129" s="762"/>
      <c r="B129" s="762"/>
      <c r="C129" s="762"/>
      <c r="D129" s="762"/>
      <c r="E129" s="762"/>
      <c r="F129" s="762"/>
      <c r="G129" s="762"/>
      <c r="H129" s="762"/>
      <c r="I129" s="762"/>
      <c r="J129" s="762"/>
      <c r="K129" s="762"/>
      <c r="L129" s="1377"/>
      <c r="M129" s="1035"/>
      <c r="N129" s="1035"/>
      <c r="O129" s="1035"/>
      <c r="P129" s="1035"/>
      <c r="Q129" s="1035"/>
      <c r="R129" s="1035"/>
      <c r="S129" s="455"/>
      <c r="T129" s="1035"/>
      <c r="U129" s="455"/>
      <c r="V129" s="1035"/>
      <c r="W129" s="1035"/>
      <c r="X129" s="1035"/>
      <c r="Y129" s="1035"/>
      <c r="Z129" s="1035"/>
      <c r="AA129" s="1035"/>
      <c r="AB129" s="1035"/>
    </row>
    <row r="130" spans="1:28">
      <c r="A130" s="762"/>
      <c r="B130" s="762"/>
      <c r="C130" s="762"/>
      <c r="D130" s="762"/>
      <c r="E130" s="762"/>
      <c r="F130" s="762"/>
      <c r="G130" s="762"/>
      <c r="H130" s="762"/>
      <c r="I130" s="762"/>
      <c r="J130" s="762"/>
      <c r="K130" s="762"/>
      <c r="L130" s="1377"/>
      <c r="M130" s="1035"/>
      <c r="N130" s="1035"/>
      <c r="O130" s="1035"/>
      <c r="P130" s="1035"/>
      <c r="Q130" s="1035"/>
      <c r="R130" s="1035"/>
      <c r="S130" s="455"/>
      <c r="T130" s="1035"/>
      <c r="U130" s="455"/>
      <c r="V130" s="1035"/>
      <c r="W130" s="1035"/>
      <c r="X130" s="1035"/>
      <c r="Y130" s="1035"/>
      <c r="Z130" s="1035"/>
      <c r="AA130" s="1035"/>
      <c r="AB130" s="1035"/>
    </row>
    <row r="131" spans="1:28">
      <c r="A131" s="762"/>
      <c r="B131" s="762"/>
      <c r="C131" s="762"/>
      <c r="D131" s="762"/>
      <c r="E131" s="762"/>
      <c r="F131" s="762"/>
      <c r="G131" s="762"/>
      <c r="H131" s="762"/>
      <c r="I131" s="762"/>
      <c r="J131" s="762"/>
      <c r="K131" s="762"/>
      <c r="L131" s="1377"/>
      <c r="M131" s="1035"/>
      <c r="N131" s="1035"/>
      <c r="O131" s="1035"/>
      <c r="P131" s="1035"/>
      <c r="Q131" s="1035"/>
      <c r="R131" s="1035"/>
      <c r="S131" s="455"/>
      <c r="T131" s="1035"/>
      <c r="U131" s="455"/>
      <c r="V131" s="1035"/>
      <c r="W131" s="1035"/>
      <c r="X131" s="1035"/>
      <c r="Y131" s="1035"/>
      <c r="Z131" s="1035"/>
      <c r="AA131" s="1035"/>
      <c r="AB131" s="1035"/>
    </row>
    <row r="132" spans="1:28">
      <c r="A132" s="762"/>
      <c r="B132" s="762"/>
      <c r="C132" s="762"/>
      <c r="D132" s="762"/>
      <c r="E132" s="762"/>
      <c r="F132" s="762"/>
      <c r="G132" s="762"/>
      <c r="H132" s="762"/>
      <c r="I132" s="762"/>
      <c r="J132" s="762"/>
      <c r="K132" s="762"/>
      <c r="L132" s="1377"/>
      <c r="M132" s="1035"/>
      <c r="N132" s="1035"/>
      <c r="O132" s="1035"/>
      <c r="P132" s="1035"/>
      <c r="Q132" s="1035"/>
      <c r="R132" s="1035"/>
      <c r="S132" s="455"/>
      <c r="T132" s="1035"/>
      <c r="U132" s="455"/>
      <c r="V132" s="1035"/>
      <c r="W132" s="1035"/>
      <c r="X132" s="1035"/>
      <c r="Y132" s="1035"/>
      <c r="Z132" s="1035"/>
      <c r="AA132" s="1035"/>
      <c r="AB132" s="1035"/>
    </row>
    <row r="133" spans="1:28">
      <c r="A133" s="762"/>
      <c r="B133" s="762"/>
      <c r="C133" s="762"/>
      <c r="D133" s="762"/>
      <c r="E133" s="762"/>
      <c r="F133" s="762"/>
      <c r="G133" s="762"/>
      <c r="H133" s="762"/>
      <c r="I133" s="762"/>
      <c r="J133" s="762"/>
      <c r="K133" s="762"/>
      <c r="L133" s="1377"/>
      <c r="M133" s="1035"/>
      <c r="N133" s="1035"/>
      <c r="O133" s="1035"/>
      <c r="P133" s="1035"/>
      <c r="Q133" s="1035"/>
      <c r="R133" s="1035"/>
      <c r="S133" s="455"/>
      <c r="T133" s="1035"/>
      <c r="U133" s="455"/>
      <c r="V133" s="1035"/>
      <c r="W133" s="1035"/>
      <c r="X133" s="1035"/>
      <c r="Y133" s="1035"/>
      <c r="Z133" s="1035"/>
      <c r="AA133" s="1035"/>
      <c r="AB133" s="1035"/>
    </row>
    <row r="134" spans="1:28">
      <c r="A134" s="762"/>
      <c r="B134" s="762"/>
      <c r="C134" s="762"/>
      <c r="D134" s="762"/>
      <c r="E134" s="762"/>
      <c r="F134" s="762"/>
      <c r="G134" s="762"/>
      <c r="H134" s="762"/>
      <c r="I134" s="762"/>
      <c r="J134" s="762"/>
      <c r="K134" s="762"/>
      <c r="L134" s="1377"/>
      <c r="M134" s="1035"/>
      <c r="N134" s="1035"/>
      <c r="O134" s="1035"/>
      <c r="P134" s="1035"/>
      <c r="Q134" s="1035"/>
      <c r="R134" s="1035"/>
      <c r="S134" s="455"/>
      <c r="T134" s="1035"/>
      <c r="U134" s="455"/>
      <c r="V134" s="1035"/>
      <c r="W134" s="1035"/>
      <c r="X134" s="1035"/>
      <c r="Y134" s="1035"/>
      <c r="Z134" s="1035"/>
      <c r="AA134" s="1035"/>
      <c r="AB134" s="1035"/>
    </row>
    <row r="135" spans="1:28">
      <c r="A135" s="762"/>
      <c r="B135" s="762"/>
      <c r="C135" s="762"/>
      <c r="D135" s="762"/>
      <c r="E135" s="762"/>
      <c r="F135" s="762"/>
      <c r="G135" s="762"/>
      <c r="H135" s="762"/>
      <c r="I135" s="762"/>
      <c r="J135" s="762"/>
      <c r="K135" s="762"/>
      <c r="L135" s="1377"/>
      <c r="M135" s="1035"/>
      <c r="N135" s="1035"/>
      <c r="O135" s="1035"/>
      <c r="P135" s="1035"/>
      <c r="Q135" s="1035"/>
      <c r="R135" s="1035"/>
      <c r="S135" s="455"/>
      <c r="T135" s="1035"/>
      <c r="U135" s="455"/>
      <c r="V135" s="1035"/>
      <c r="W135" s="1035"/>
      <c r="X135" s="1035"/>
      <c r="Y135" s="1035"/>
      <c r="Z135" s="1035"/>
      <c r="AA135" s="1035"/>
      <c r="AB135" s="1035"/>
    </row>
    <row r="136" spans="1:28">
      <c r="A136" s="762"/>
      <c r="B136" s="762"/>
      <c r="C136" s="762"/>
      <c r="D136" s="762"/>
      <c r="E136" s="762"/>
      <c r="F136" s="762"/>
      <c r="G136" s="762"/>
      <c r="H136" s="762"/>
      <c r="I136" s="762"/>
      <c r="J136" s="762"/>
      <c r="K136" s="762"/>
      <c r="L136" s="1377"/>
      <c r="M136" s="1035"/>
      <c r="N136" s="1035"/>
      <c r="O136" s="1035"/>
      <c r="P136" s="1035"/>
      <c r="Q136" s="1035"/>
      <c r="R136" s="1035"/>
      <c r="S136" s="455"/>
      <c r="T136" s="1035"/>
      <c r="U136" s="455"/>
      <c r="V136" s="1035"/>
      <c r="W136" s="1035"/>
      <c r="X136" s="1035"/>
      <c r="Y136" s="1035"/>
      <c r="Z136" s="1035"/>
      <c r="AA136" s="1035"/>
      <c r="AB136" s="1035"/>
    </row>
    <row r="137" spans="1:28">
      <c r="A137" s="762"/>
      <c r="B137" s="762"/>
      <c r="C137" s="762"/>
      <c r="D137" s="762"/>
      <c r="E137" s="762"/>
      <c r="F137" s="762"/>
      <c r="G137" s="762"/>
      <c r="H137" s="762"/>
      <c r="I137" s="762"/>
      <c r="J137" s="762"/>
      <c r="K137" s="762"/>
      <c r="L137" s="1377"/>
      <c r="M137" s="1035"/>
      <c r="N137" s="1035"/>
      <c r="O137" s="1035"/>
      <c r="P137" s="1035"/>
      <c r="Q137" s="1035"/>
      <c r="R137" s="1035"/>
      <c r="S137" s="455"/>
      <c r="T137" s="1035"/>
      <c r="U137" s="455"/>
      <c r="V137" s="1035"/>
      <c r="W137" s="1035"/>
      <c r="X137" s="1035"/>
      <c r="Y137" s="1035"/>
      <c r="Z137" s="1035"/>
      <c r="AA137" s="1035"/>
      <c r="AB137" s="1035"/>
    </row>
    <row r="138" spans="1:28">
      <c r="A138" s="762"/>
      <c r="B138" s="762"/>
      <c r="C138" s="762"/>
      <c r="D138" s="762"/>
      <c r="E138" s="762"/>
      <c r="F138" s="762"/>
      <c r="G138" s="762"/>
      <c r="H138" s="762"/>
      <c r="I138" s="762"/>
      <c r="J138" s="762"/>
      <c r="K138" s="762"/>
      <c r="L138" s="1377"/>
      <c r="M138" s="1035"/>
      <c r="N138" s="1035"/>
      <c r="O138" s="1035"/>
      <c r="P138" s="1035"/>
      <c r="Q138" s="1035"/>
      <c r="R138" s="1035"/>
      <c r="S138" s="455"/>
      <c r="T138" s="1035"/>
      <c r="U138" s="455"/>
      <c r="V138" s="1035"/>
      <c r="W138" s="1035"/>
      <c r="X138" s="1035"/>
      <c r="Y138" s="1035"/>
      <c r="Z138" s="1035"/>
      <c r="AA138" s="1035"/>
      <c r="AB138" s="1035"/>
    </row>
    <row r="139" spans="1:28">
      <c r="A139" s="762"/>
      <c r="B139" s="762"/>
      <c r="C139" s="762"/>
      <c r="D139" s="762"/>
      <c r="E139" s="762"/>
      <c r="F139" s="762"/>
      <c r="G139" s="762"/>
      <c r="H139" s="762"/>
      <c r="I139" s="762"/>
      <c r="J139" s="762"/>
      <c r="K139" s="762"/>
      <c r="L139" s="1377"/>
      <c r="M139" s="1035"/>
      <c r="N139" s="1035"/>
      <c r="O139" s="1035"/>
      <c r="P139" s="1035"/>
      <c r="Q139" s="1035"/>
      <c r="R139" s="1035"/>
      <c r="S139" s="455"/>
      <c r="T139" s="1035"/>
      <c r="U139" s="455"/>
      <c r="V139" s="1035"/>
      <c r="W139" s="1035"/>
      <c r="X139" s="1035"/>
      <c r="Y139" s="1035"/>
      <c r="Z139" s="1035"/>
      <c r="AA139" s="1035"/>
      <c r="AB139" s="1035"/>
    </row>
    <row r="140" spans="1:28">
      <c r="A140" s="762"/>
      <c r="B140" s="762"/>
      <c r="C140" s="762"/>
      <c r="D140" s="762"/>
      <c r="E140" s="762"/>
      <c r="F140" s="762"/>
      <c r="G140" s="762"/>
      <c r="H140" s="762"/>
      <c r="I140" s="762"/>
      <c r="J140" s="762"/>
      <c r="K140" s="762"/>
      <c r="L140" s="1377"/>
      <c r="M140" s="1035"/>
      <c r="N140" s="1035"/>
      <c r="O140" s="1035"/>
      <c r="P140" s="1035"/>
      <c r="Q140" s="1035"/>
      <c r="R140" s="1035"/>
      <c r="S140" s="455"/>
      <c r="T140" s="1035"/>
      <c r="U140" s="455"/>
      <c r="V140" s="1035"/>
      <c r="W140" s="1035"/>
      <c r="X140" s="1035"/>
      <c r="Y140" s="1035"/>
      <c r="Z140" s="1035"/>
      <c r="AA140" s="1035"/>
      <c r="AB140" s="1035"/>
    </row>
    <row r="141" spans="1:28">
      <c r="A141" s="762"/>
      <c r="B141" s="762"/>
      <c r="C141" s="762"/>
      <c r="D141" s="762"/>
      <c r="E141" s="762"/>
      <c r="F141" s="762"/>
      <c r="G141" s="762"/>
      <c r="H141" s="762"/>
      <c r="I141" s="762"/>
      <c r="J141" s="762"/>
      <c r="K141" s="762"/>
      <c r="L141" s="1377"/>
      <c r="M141" s="1035"/>
      <c r="N141" s="1035"/>
      <c r="O141" s="1035"/>
      <c r="P141" s="1035"/>
      <c r="Q141" s="1035"/>
      <c r="R141" s="1035"/>
      <c r="S141" s="455"/>
      <c r="T141" s="1035"/>
      <c r="U141" s="455"/>
      <c r="V141" s="1035"/>
      <c r="W141" s="1035"/>
      <c r="X141" s="1035"/>
      <c r="Y141" s="1035"/>
      <c r="Z141" s="1035"/>
      <c r="AA141" s="1035"/>
      <c r="AB141" s="1035"/>
    </row>
    <row r="142" spans="1:28">
      <c r="A142" s="762"/>
      <c r="B142" s="762"/>
      <c r="C142" s="762"/>
      <c r="D142" s="762"/>
      <c r="E142" s="762"/>
      <c r="F142" s="762"/>
      <c r="G142" s="762"/>
      <c r="H142" s="762"/>
      <c r="I142" s="762"/>
      <c r="J142" s="762"/>
      <c r="K142" s="762"/>
      <c r="L142" s="1377"/>
      <c r="M142" s="1035"/>
      <c r="N142" s="1035"/>
      <c r="O142" s="1035"/>
      <c r="P142" s="1035"/>
      <c r="Q142" s="1035"/>
      <c r="R142" s="1035"/>
      <c r="S142" s="455"/>
      <c r="T142" s="1035"/>
      <c r="U142" s="455"/>
      <c r="V142" s="1035"/>
      <c r="W142" s="1035"/>
      <c r="X142" s="1035"/>
      <c r="Y142" s="1035"/>
      <c r="Z142" s="1035"/>
      <c r="AA142" s="1035"/>
      <c r="AB142" s="1035"/>
    </row>
    <row r="143" spans="1:28">
      <c r="A143" s="762"/>
      <c r="B143" s="762"/>
      <c r="C143" s="762"/>
      <c r="D143" s="762"/>
      <c r="E143" s="762"/>
      <c r="F143" s="762"/>
      <c r="G143" s="762"/>
      <c r="H143" s="762"/>
      <c r="I143" s="762"/>
      <c r="J143" s="762"/>
      <c r="K143" s="762"/>
      <c r="L143" s="1377"/>
      <c r="M143" s="1035"/>
      <c r="N143" s="1035"/>
      <c r="O143" s="1035"/>
      <c r="P143" s="1035"/>
      <c r="Q143" s="1035"/>
      <c r="R143" s="1035"/>
      <c r="S143" s="455"/>
      <c r="T143" s="1035"/>
      <c r="U143" s="455"/>
      <c r="V143" s="1035"/>
      <c r="W143" s="1035"/>
      <c r="X143" s="1035"/>
      <c r="Y143" s="1035"/>
      <c r="Z143" s="1035"/>
      <c r="AA143" s="1035"/>
      <c r="AB143" s="1035"/>
    </row>
    <row r="144" spans="1:28">
      <c r="A144" s="762"/>
      <c r="B144" s="762"/>
      <c r="C144" s="762"/>
      <c r="D144" s="762"/>
      <c r="E144" s="762"/>
      <c r="F144" s="762"/>
      <c r="G144" s="762"/>
      <c r="H144" s="762"/>
      <c r="I144" s="762"/>
      <c r="J144" s="762"/>
      <c r="K144" s="762"/>
      <c r="L144" s="1377"/>
      <c r="M144" s="1035"/>
      <c r="N144" s="1035"/>
      <c r="O144" s="1035"/>
      <c r="P144" s="1035"/>
      <c r="Q144" s="1035"/>
      <c r="R144" s="1035"/>
      <c r="S144" s="455"/>
      <c r="T144" s="1035"/>
      <c r="U144" s="455"/>
      <c r="V144" s="1035"/>
      <c r="W144" s="1035"/>
      <c r="X144" s="1035"/>
      <c r="Y144" s="1035"/>
      <c r="Z144" s="1035"/>
      <c r="AA144" s="1035"/>
      <c r="AB144" s="1035"/>
    </row>
    <row r="145" spans="1:28">
      <c r="A145" s="762"/>
      <c r="B145" s="762"/>
      <c r="C145" s="762"/>
      <c r="D145" s="762"/>
      <c r="E145" s="762"/>
      <c r="F145" s="762"/>
      <c r="G145" s="762"/>
      <c r="H145" s="762"/>
      <c r="I145" s="762"/>
      <c r="J145" s="762"/>
      <c r="K145" s="762"/>
      <c r="L145" s="1377"/>
      <c r="M145" s="1035"/>
      <c r="N145" s="1035"/>
      <c r="O145" s="1035"/>
      <c r="P145" s="1035"/>
      <c r="Q145" s="1035"/>
      <c r="R145" s="1035"/>
      <c r="S145" s="455"/>
      <c r="T145" s="1035"/>
      <c r="U145" s="455"/>
      <c r="V145" s="1035"/>
      <c r="W145" s="1035"/>
      <c r="X145" s="1035"/>
      <c r="Y145" s="1035"/>
      <c r="Z145" s="1035"/>
      <c r="AA145" s="1035"/>
      <c r="AB145" s="1035"/>
    </row>
    <row r="146" spans="1:28">
      <c r="A146" s="762"/>
      <c r="B146" s="762"/>
      <c r="C146" s="762"/>
      <c r="D146" s="762"/>
      <c r="E146" s="762"/>
      <c r="F146" s="762"/>
      <c r="G146" s="762"/>
      <c r="H146" s="762"/>
      <c r="I146" s="762"/>
      <c r="J146" s="762"/>
      <c r="K146" s="762"/>
      <c r="L146" s="1377"/>
      <c r="M146" s="1035"/>
      <c r="N146" s="1035"/>
      <c r="O146" s="1035"/>
      <c r="P146" s="1035"/>
      <c r="Q146" s="1035"/>
      <c r="R146" s="1035"/>
      <c r="S146" s="455"/>
      <c r="T146" s="1035"/>
      <c r="U146" s="455"/>
      <c r="V146" s="1035"/>
      <c r="W146" s="1035"/>
      <c r="X146" s="1035"/>
      <c r="Y146" s="1035"/>
      <c r="Z146" s="1035"/>
      <c r="AA146" s="1035"/>
      <c r="AB146" s="1035"/>
    </row>
    <row r="147" spans="1:28">
      <c r="A147" s="762"/>
      <c r="B147" s="762"/>
      <c r="C147" s="762"/>
      <c r="D147" s="762"/>
      <c r="E147" s="762"/>
      <c r="F147" s="762"/>
      <c r="G147" s="762"/>
      <c r="H147" s="762"/>
      <c r="I147" s="762"/>
      <c r="J147" s="762"/>
      <c r="K147" s="762"/>
      <c r="L147" s="1377"/>
      <c r="M147" s="1035"/>
      <c r="N147" s="1035"/>
      <c r="O147" s="1035"/>
      <c r="P147" s="1035"/>
      <c r="Q147" s="1035"/>
      <c r="R147" s="1035"/>
      <c r="S147" s="455"/>
      <c r="T147" s="1035"/>
      <c r="U147" s="455"/>
      <c r="V147" s="1035"/>
      <c r="W147" s="1035"/>
      <c r="X147" s="1035"/>
      <c r="Y147" s="1035"/>
      <c r="Z147" s="1035"/>
      <c r="AA147" s="1035"/>
      <c r="AB147" s="1035"/>
    </row>
    <row r="148" spans="1:28">
      <c r="A148" s="762"/>
      <c r="B148" s="762"/>
      <c r="C148" s="762"/>
      <c r="D148" s="762"/>
      <c r="E148" s="762"/>
      <c r="F148" s="762"/>
      <c r="G148" s="762"/>
      <c r="H148" s="762"/>
      <c r="I148" s="762"/>
      <c r="J148" s="762"/>
      <c r="K148" s="762"/>
      <c r="L148" s="1377"/>
      <c r="M148" s="1035"/>
      <c r="N148" s="1035"/>
      <c r="O148" s="1035"/>
      <c r="P148" s="1035"/>
      <c r="Q148" s="1035"/>
      <c r="R148" s="1035"/>
      <c r="S148" s="455"/>
      <c r="T148" s="1035"/>
      <c r="U148" s="455"/>
      <c r="V148" s="1035"/>
      <c r="W148" s="1035"/>
      <c r="X148" s="1035"/>
      <c r="Y148" s="1035"/>
      <c r="Z148" s="1035"/>
      <c r="AA148" s="1035"/>
      <c r="AB148" s="1035"/>
    </row>
    <row r="149" spans="1:28">
      <c r="A149" s="762"/>
      <c r="B149" s="762"/>
      <c r="C149" s="762"/>
      <c r="D149" s="762"/>
      <c r="E149" s="762"/>
      <c r="F149" s="762"/>
      <c r="G149" s="762"/>
      <c r="H149" s="762"/>
      <c r="I149" s="762"/>
      <c r="J149" s="762"/>
      <c r="K149" s="762"/>
      <c r="L149" s="1377"/>
      <c r="M149" s="1035"/>
      <c r="N149" s="1035"/>
      <c r="O149" s="1035"/>
      <c r="P149" s="1035"/>
      <c r="Q149" s="1035"/>
      <c r="R149" s="1035"/>
      <c r="S149" s="455"/>
      <c r="T149" s="1035"/>
      <c r="U149" s="455"/>
      <c r="V149" s="1035"/>
      <c r="W149" s="1035"/>
      <c r="X149" s="1035"/>
      <c r="Y149" s="1035"/>
      <c r="Z149" s="1035"/>
      <c r="AA149" s="1035"/>
      <c r="AB149" s="1035"/>
    </row>
    <row r="150" spans="1:28">
      <c r="A150" s="762"/>
      <c r="B150" s="762"/>
      <c r="C150" s="762"/>
      <c r="D150" s="762"/>
      <c r="E150" s="762"/>
      <c r="F150" s="762"/>
      <c r="G150" s="762"/>
      <c r="H150" s="762"/>
      <c r="I150" s="762"/>
      <c r="J150" s="762"/>
      <c r="K150" s="762"/>
      <c r="L150" s="1377"/>
      <c r="M150" s="1035"/>
      <c r="N150" s="1035"/>
      <c r="O150" s="1035"/>
      <c r="P150" s="1035"/>
      <c r="Q150" s="1035"/>
      <c r="R150" s="1035"/>
      <c r="S150" s="455"/>
      <c r="T150" s="1035"/>
      <c r="U150" s="455"/>
      <c r="V150" s="1035"/>
      <c r="W150" s="1035"/>
      <c r="X150" s="1035"/>
      <c r="Y150" s="1035"/>
      <c r="Z150" s="1035"/>
      <c r="AA150" s="1035"/>
      <c r="AB150" s="1035"/>
    </row>
    <row r="151" spans="1:28">
      <c r="A151" s="762"/>
      <c r="B151" s="762"/>
      <c r="C151" s="762"/>
      <c r="D151" s="762"/>
      <c r="E151" s="762"/>
      <c r="F151" s="762"/>
      <c r="G151" s="762"/>
      <c r="H151" s="762"/>
      <c r="I151" s="762"/>
      <c r="J151" s="762"/>
      <c r="K151" s="762"/>
      <c r="L151" s="1377"/>
      <c r="M151" s="1035"/>
      <c r="N151" s="1035"/>
      <c r="O151" s="1035"/>
      <c r="P151" s="1035"/>
      <c r="Q151" s="1035"/>
      <c r="R151" s="1035"/>
      <c r="S151" s="455"/>
      <c r="T151" s="1035"/>
      <c r="U151" s="455"/>
      <c r="V151" s="1035"/>
      <c r="W151" s="1035"/>
      <c r="X151" s="1035"/>
      <c r="Y151" s="1035"/>
      <c r="Z151" s="1035"/>
      <c r="AA151" s="1035"/>
      <c r="AB151" s="1035"/>
    </row>
    <row r="152" spans="1:28">
      <c r="A152" s="762"/>
      <c r="B152" s="762"/>
      <c r="C152" s="762"/>
      <c r="D152" s="762"/>
      <c r="E152" s="762"/>
      <c r="F152" s="762"/>
      <c r="G152" s="762"/>
      <c r="H152" s="762"/>
      <c r="I152" s="762"/>
      <c r="J152" s="762"/>
      <c r="K152" s="762"/>
      <c r="L152" s="1377"/>
      <c r="M152" s="1035"/>
      <c r="N152" s="1035"/>
      <c r="O152" s="1035"/>
      <c r="P152" s="1035"/>
      <c r="Q152" s="1035"/>
      <c r="R152" s="1035"/>
      <c r="S152" s="455"/>
      <c r="T152" s="1035"/>
      <c r="U152" s="455"/>
      <c r="V152" s="1035"/>
      <c r="W152" s="1035"/>
      <c r="X152" s="1035"/>
      <c r="Y152" s="1035"/>
      <c r="Z152" s="1035"/>
      <c r="AA152" s="1035"/>
      <c r="AB152" s="1035"/>
    </row>
    <row r="153" spans="1:28">
      <c r="A153" s="762"/>
      <c r="B153" s="762"/>
      <c r="C153" s="762"/>
      <c r="D153" s="762"/>
      <c r="E153" s="762"/>
      <c r="F153" s="762"/>
      <c r="G153" s="762"/>
      <c r="H153" s="762"/>
      <c r="I153" s="762"/>
      <c r="J153" s="762"/>
      <c r="K153" s="762"/>
      <c r="L153" s="1377"/>
      <c r="M153" s="1035"/>
      <c r="N153" s="1035"/>
      <c r="O153" s="1035"/>
      <c r="P153" s="1035"/>
      <c r="Q153" s="1035"/>
      <c r="R153" s="1035"/>
      <c r="S153" s="455"/>
      <c r="T153" s="1035"/>
      <c r="U153" s="455"/>
      <c r="V153" s="1035"/>
      <c r="W153" s="1035"/>
      <c r="X153" s="1035"/>
      <c r="Y153" s="1035"/>
      <c r="Z153" s="1035"/>
      <c r="AA153" s="1035"/>
      <c r="AB153" s="1035"/>
    </row>
    <row r="154" spans="1:28">
      <c r="A154" s="762"/>
      <c r="B154" s="762"/>
      <c r="C154" s="762"/>
      <c r="D154" s="762"/>
      <c r="E154" s="762"/>
      <c r="F154" s="762"/>
      <c r="G154" s="762"/>
      <c r="H154" s="762"/>
      <c r="I154" s="762"/>
      <c r="J154" s="762"/>
      <c r="K154" s="762"/>
      <c r="L154" s="1377"/>
      <c r="M154" s="1035"/>
      <c r="N154" s="1035"/>
      <c r="O154" s="1035"/>
      <c r="P154" s="1035"/>
      <c r="Q154" s="1035"/>
      <c r="R154" s="1035"/>
      <c r="S154" s="455"/>
      <c r="T154" s="1035"/>
      <c r="U154" s="455"/>
      <c r="V154" s="1035"/>
      <c r="W154" s="1035"/>
      <c r="X154" s="1035"/>
      <c r="Y154" s="1035"/>
      <c r="Z154" s="1035"/>
      <c r="AA154" s="1035"/>
      <c r="AB154" s="1035"/>
    </row>
    <row r="155" spans="1:28">
      <c r="A155" s="762"/>
      <c r="B155" s="762"/>
      <c r="C155" s="762"/>
      <c r="D155" s="455"/>
      <c r="E155" s="766" t="s">
        <v>328</v>
      </c>
      <c r="F155" s="762"/>
      <c r="G155" s="762"/>
      <c r="H155" s="762"/>
      <c r="I155" s="762"/>
      <c r="J155" s="762"/>
      <c r="K155" s="762"/>
      <c r="L155" s="1377"/>
      <c r="M155" s="1377"/>
      <c r="N155" s="1377"/>
      <c r="O155" s="1377"/>
      <c r="P155" s="1377"/>
      <c r="Q155" s="1377"/>
      <c r="R155" s="1377"/>
      <c r="S155" s="931"/>
      <c r="T155" s="1377"/>
      <c r="U155" s="931"/>
      <c r="V155" s="1377"/>
      <c r="W155" s="1377"/>
      <c r="X155" s="1377"/>
      <c r="Y155" s="1377"/>
      <c r="Z155" s="1377"/>
      <c r="AA155" s="1377"/>
      <c r="AB155" s="1377"/>
    </row>
    <row r="156" spans="1:28">
      <c r="A156" s="762"/>
      <c r="B156" s="762"/>
      <c r="C156" s="762"/>
      <c r="D156" s="762"/>
      <c r="E156" s="762"/>
      <c r="F156" s="762"/>
      <c r="G156" s="762"/>
      <c r="H156" s="762"/>
      <c r="I156" s="762"/>
      <c r="J156" s="762"/>
      <c r="K156" s="762"/>
      <c r="L156" s="1377"/>
      <c r="M156" s="1377"/>
      <c r="N156" s="1377"/>
      <c r="O156" s="1377"/>
      <c r="P156" s="1377"/>
      <c r="Q156" s="1377"/>
      <c r="R156" s="1377"/>
      <c r="S156" s="931"/>
      <c r="T156" s="1377"/>
      <c r="U156" s="931"/>
      <c r="V156" s="1377"/>
      <c r="W156" s="1377"/>
      <c r="X156" s="1377"/>
      <c r="Y156" s="1377"/>
      <c r="Z156" s="1377"/>
      <c r="AA156" s="1377"/>
      <c r="AB156" s="1377"/>
    </row>
    <row r="157" spans="1:28">
      <c r="A157" s="762"/>
      <c r="B157" s="762"/>
      <c r="C157" s="762"/>
      <c r="D157" s="762"/>
      <c r="E157" s="762"/>
      <c r="F157" s="762"/>
      <c r="G157" s="762"/>
      <c r="H157" s="762"/>
      <c r="I157" s="762"/>
      <c r="J157" s="762"/>
      <c r="K157" s="762"/>
      <c r="L157" s="1377"/>
      <c r="M157" s="1377"/>
      <c r="N157" s="1377"/>
      <c r="O157" s="1377"/>
      <c r="P157" s="1377"/>
      <c r="Q157" s="1377"/>
      <c r="R157" s="1377"/>
      <c r="S157" s="931"/>
      <c r="T157" s="1377"/>
      <c r="U157" s="931"/>
      <c r="V157" s="1377"/>
      <c r="W157" s="1377"/>
      <c r="X157" s="1377"/>
      <c r="Y157" s="1377"/>
      <c r="Z157" s="1377"/>
      <c r="AA157" s="1377"/>
      <c r="AB157" s="1377"/>
    </row>
    <row r="158" spans="1:28">
      <c r="A158" s="762"/>
      <c r="B158" s="762"/>
      <c r="C158" s="762"/>
      <c r="D158" s="762"/>
      <c r="E158" s="762"/>
      <c r="F158" s="762"/>
      <c r="G158" s="762"/>
      <c r="H158" s="762"/>
      <c r="I158" s="762"/>
      <c r="J158" s="762"/>
      <c r="K158" s="762"/>
      <c r="L158" s="1377"/>
      <c r="M158" s="1377"/>
      <c r="N158" s="1377"/>
      <c r="O158" s="1377"/>
      <c r="P158" s="1377"/>
      <c r="Q158" s="1377"/>
      <c r="R158" s="1377"/>
      <c r="S158" s="931"/>
      <c r="T158" s="1377"/>
      <c r="U158" s="931"/>
      <c r="V158" s="1377"/>
      <c r="W158" s="1377"/>
      <c r="X158" s="1377"/>
      <c r="Y158" s="1377"/>
      <c r="Z158" s="1377"/>
      <c r="AA158" s="1377"/>
      <c r="AB158" s="1377"/>
    </row>
    <row r="159" spans="1:28">
      <c r="A159" s="762"/>
      <c r="B159" s="762"/>
      <c r="C159" s="762"/>
      <c r="D159" s="762"/>
      <c r="E159" s="762"/>
      <c r="F159" s="762"/>
      <c r="G159" s="762"/>
      <c r="H159" s="762"/>
      <c r="I159" s="762"/>
      <c r="J159" s="762"/>
      <c r="K159" s="762"/>
      <c r="L159" s="1377"/>
      <c r="M159" s="1377"/>
      <c r="N159" s="1377"/>
      <c r="O159" s="1377"/>
      <c r="P159" s="1377"/>
      <c r="Q159" s="1377"/>
      <c r="R159" s="1377"/>
      <c r="S159" s="931"/>
      <c r="T159" s="1377"/>
      <c r="U159" s="931"/>
      <c r="V159" s="1377"/>
      <c r="W159" s="1377"/>
      <c r="X159" s="1377"/>
      <c r="Y159" s="1377"/>
      <c r="Z159" s="1377"/>
      <c r="AA159" s="1377"/>
      <c r="AB159" s="1377"/>
    </row>
    <row r="160" spans="1:28">
      <c r="A160" s="762"/>
      <c r="B160" s="762"/>
      <c r="C160" s="762"/>
      <c r="D160" s="762"/>
      <c r="E160" s="762"/>
      <c r="F160" s="762"/>
      <c r="G160" s="762"/>
      <c r="H160" s="762"/>
      <c r="I160" s="762"/>
      <c r="J160" s="762"/>
      <c r="K160" s="762"/>
      <c r="L160" s="1377"/>
      <c r="M160" s="1377"/>
      <c r="N160" s="1377"/>
      <c r="O160" s="1377"/>
      <c r="P160" s="1377"/>
      <c r="Q160" s="1377"/>
      <c r="R160" s="1377"/>
      <c r="S160" s="931"/>
      <c r="T160" s="1377"/>
      <c r="U160" s="931"/>
      <c r="V160" s="1377"/>
      <c r="W160" s="1377"/>
      <c r="X160" s="1377"/>
      <c r="Y160" s="1377"/>
      <c r="Z160" s="1377"/>
      <c r="AA160" s="1377"/>
      <c r="AB160" s="1377"/>
    </row>
    <row r="161" spans="1:28">
      <c r="A161" s="762"/>
      <c r="B161" s="762"/>
      <c r="C161" s="762"/>
      <c r="D161" s="762"/>
      <c r="E161" s="762"/>
      <c r="F161" s="762"/>
      <c r="G161" s="762"/>
      <c r="H161" s="762"/>
      <c r="I161" s="762"/>
      <c r="J161" s="762"/>
      <c r="K161" s="762"/>
      <c r="L161" s="1377"/>
      <c r="M161" s="1377"/>
      <c r="N161" s="1377"/>
      <c r="O161" s="1377"/>
      <c r="P161" s="1377"/>
      <c r="Q161" s="1377"/>
      <c r="R161" s="1377"/>
      <c r="S161" s="931"/>
      <c r="T161" s="1377"/>
      <c r="U161" s="931"/>
      <c r="V161" s="1377"/>
      <c r="W161" s="1377"/>
      <c r="X161" s="1377"/>
      <c r="Y161" s="1377"/>
      <c r="Z161" s="1377"/>
      <c r="AA161" s="1377"/>
      <c r="AB161" s="1377"/>
    </row>
    <row r="162" spans="1:28">
      <c r="A162" s="762"/>
      <c r="B162" s="762"/>
      <c r="C162" s="762"/>
      <c r="D162" s="762"/>
      <c r="E162" s="762"/>
      <c r="F162" s="762"/>
      <c r="G162" s="762"/>
      <c r="H162" s="762"/>
      <c r="I162" s="762"/>
      <c r="J162" s="762"/>
      <c r="K162" s="762"/>
      <c r="L162" s="1377"/>
      <c r="M162" s="1377"/>
      <c r="N162" s="1377"/>
      <c r="O162" s="1377"/>
      <c r="P162" s="1377"/>
      <c r="Q162" s="1377"/>
      <c r="R162" s="1377"/>
      <c r="S162" s="931"/>
      <c r="T162" s="1377"/>
      <c r="U162" s="931"/>
      <c r="V162" s="1377"/>
      <c r="W162" s="1377"/>
      <c r="X162" s="1377"/>
      <c r="Y162" s="1377"/>
      <c r="Z162" s="1377"/>
      <c r="AA162" s="1377"/>
      <c r="AB162" s="1377"/>
    </row>
    <row r="163" spans="1:28">
      <c r="A163" s="762"/>
      <c r="B163" s="762"/>
      <c r="C163" s="762"/>
      <c r="D163" s="762"/>
      <c r="E163" s="762"/>
      <c r="F163" s="762"/>
      <c r="G163" s="762"/>
      <c r="H163" s="762"/>
      <c r="I163" s="762"/>
      <c r="J163" s="762"/>
      <c r="K163" s="762"/>
      <c r="L163" s="1377"/>
      <c r="M163" s="1377"/>
      <c r="N163" s="1377"/>
      <c r="O163" s="1377"/>
      <c r="P163" s="1377"/>
      <c r="Q163" s="1377"/>
      <c r="R163" s="1377"/>
      <c r="S163" s="931"/>
      <c r="T163" s="1377"/>
      <c r="U163" s="931"/>
      <c r="V163" s="1377"/>
      <c r="W163" s="1377"/>
      <c r="X163" s="1377"/>
      <c r="Y163" s="1377"/>
      <c r="Z163" s="1377"/>
      <c r="AA163" s="1377"/>
      <c r="AB163" s="1377"/>
    </row>
    <row r="164" spans="1:28">
      <c r="A164" s="762"/>
      <c r="B164" s="762"/>
      <c r="C164" s="762"/>
      <c r="D164" s="762"/>
      <c r="E164" s="762"/>
      <c r="F164" s="762"/>
      <c r="G164" s="762"/>
      <c r="H164" s="762"/>
      <c r="I164" s="762"/>
      <c r="J164" s="762"/>
      <c r="K164" s="762"/>
      <c r="L164" s="1377"/>
      <c r="M164" s="1377"/>
      <c r="N164" s="1377"/>
      <c r="O164" s="1377"/>
      <c r="P164" s="1377"/>
      <c r="Q164" s="1377"/>
      <c r="R164" s="1377"/>
      <c r="S164" s="931"/>
      <c r="T164" s="1377"/>
      <c r="U164" s="931"/>
      <c r="V164" s="1377"/>
      <c r="W164" s="1377"/>
      <c r="X164" s="1377"/>
      <c r="Y164" s="1377"/>
      <c r="Z164" s="1377"/>
      <c r="AA164" s="1377"/>
      <c r="AB164" s="1377"/>
    </row>
    <row r="165" spans="1:28">
      <c r="A165" s="762"/>
      <c r="B165" s="762"/>
      <c r="C165" s="762"/>
      <c r="D165" s="762"/>
      <c r="E165" s="762"/>
      <c r="F165" s="762"/>
      <c r="G165" s="762"/>
      <c r="H165" s="762"/>
      <c r="I165" s="762"/>
      <c r="J165" s="762"/>
      <c r="K165" s="762"/>
      <c r="L165" s="1377"/>
      <c r="M165" s="1377"/>
      <c r="N165" s="1377"/>
      <c r="O165" s="1377"/>
      <c r="P165" s="1377"/>
      <c r="Q165" s="1377"/>
      <c r="R165" s="1377"/>
      <c r="S165" s="931"/>
      <c r="T165" s="1377"/>
      <c r="U165" s="931"/>
      <c r="V165" s="1377"/>
      <c r="W165" s="1377"/>
      <c r="X165" s="1377"/>
      <c r="Y165" s="1377"/>
      <c r="Z165" s="1377"/>
      <c r="AA165" s="1377"/>
      <c r="AB165" s="1377"/>
    </row>
    <row r="166" spans="1:28">
      <c r="A166" s="762"/>
      <c r="B166" s="762"/>
      <c r="C166" s="762"/>
      <c r="D166" s="762"/>
      <c r="E166" s="762"/>
      <c r="F166" s="762"/>
      <c r="G166" s="762"/>
      <c r="H166" s="762"/>
      <c r="I166" s="762"/>
      <c r="J166" s="762"/>
      <c r="K166" s="762"/>
      <c r="L166" s="1377"/>
      <c r="M166" s="1377"/>
      <c r="N166" s="1377"/>
      <c r="O166" s="1377"/>
      <c r="P166" s="1377"/>
      <c r="Q166" s="1377"/>
      <c r="R166" s="1377"/>
      <c r="S166" s="931"/>
      <c r="T166" s="1377"/>
      <c r="U166" s="931"/>
      <c r="V166" s="1377"/>
      <c r="W166" s="1377"/>
      <c r="X166" s="1377"/>
      <c r="Y166" s="1377"/>
      <c r="Z166" s="1377"/>
      <c r="AA166" s="1377"/>
      <c r="AB166" s="1377"/>
    </row>
    <row r="167" spans="1:28">
      <c r="A167" s="762"/>
      <c r="B167" s="762"/>
      <c r="C167" s="762"/>
      <c r="D167" s="762"/>
      <c r="E167" s="762"/>
      <c r="F167" s="762"/>
      <c r="G167" s="762"/>
      <c r="H167" s="762"/>
      <c r="I167" s="762"/>
      <c r="J167" s="762"/>
      <c r="K167" s="762"/>
      <c r="L167" s="1377"/>
      <c r="M167" s="1377"/>
      <c r="N167" s="1377"/>
      <c r="O167" s="1377"/>
      <c r="P167" s="1377"/>
      <c r="Q167" s="1377"/>
      <c r="R167" s="1377"/>
      <c r="S167" s="931"/>
      <c r="T167" s="1377"/>
      <c r="U167" s="931"/>
      <c r="V167" s="1377"/>
      <c r="W167" s="1377"/>
      <c r="X167" s="1377"/>
      <c r="Y167" s="1377"/>
      <c r="Z167" s="1377"/>
      <c r="AA167" s="1377"/>
      <c r="AB167" s="1377"/>
    </row>
    <row r="168" spans="1:28">
      <c r="A168" s="762"/>
      <c r="B168" s="762"/>
      <c r="C168" s="762"/>
      <c r="D168" s="762"/>
      <c r="E168" s="762"/>
      <c r="F168" s="762"/>
      <c r="G168" s="762"/>
      <c r="H168" s="762"/>
      <c r="I168" s="762"/>
      <c r="J168" s="762"/>
      <c r="K168" s="762"/>
      <c r="L168" s="1377"/>
      <c r="M168" s="1377"/>
      <c r="N168" s="1377"/>
      <c r="O168" s="1377"/>
      <c r="P168" s="1377"/>
      <c r="Q168" s="1377"/>
      <c r="R168" s="1377"/>
      <c r="S168" s="931"/>
      <c r="T168" s="1377"/>
      <c r="U168" s="931"/>
      <c r="V168" s="1377"/>
      <c r="W168" s="1377"/>
      <c r="X168" s="1377"/>
      <c r="Y168" s="1377"/>
      <c r="Z168" s="1377"/>
      <c r="AA168" s="1377"/>
      <c r="AB168" s="1377"/>
    </row>
    <row r="169" spans="1:28">
      <c r="A169" s="762"/>
      <c r="B169" s="762"/>
      <c r="C169" s="762"/>
      <c r="D169" s="762"/>
      <c r="E169" s="762"/>
      <c r="F169" s="762"/>
      <c r="G169" s="762"/>
      <c r="H169" s="762"/>
      <c r="I169" s="762"/>
      <c r="J169" s="762"/>
      <c r="K169" s="762"/>
      <c r="L169" s="1377"/>
      <c r="M169" s="1377"/>
      <c r="N169" s="1377"/>
      <c r="O169" s="1377"/>
      <c r="P169" s="1377"/>
      <c r="Q169" s="1377"/>
      <c r="R169" s="1377"/>
      <c r="S169" s="931"/>
      <c r="T169" s="1377"/>
      <c r="U169" s="931"/>
      <c r="V169" s="1377"/>
      <c r="W169" s="1377"/>
      <c r="X169" s="1377"/>
      <c r="Y169" s="1377"/>
      <c r="Z169" s="1377"/>
      <c r="AA169" s="1377"/>
      <c r="AB169" s="1377"/>
    </row>
    <row r="170" spans="1:28">
      <c r="A170" s="762"/>
      <c r="B170" s="762"/>
      <c r="C170" s="762"/>
      <c r="D170" s="762"/>
      <c r="E170" s="762"/>
      <c r="F170" s="762"/>
      <c r="G170" s="762"/>
      <c r="H170" s="762"/>
      <c r="I170" s="762"/>
      <c r="J170" s="762"/>
      <c r="K170" s="762"/>
      <c r="L170" s="1377"/>
      <c r="M170" s="1377"/>
      <c r="N170" s="1377"/>
      <c r="O170" s="1377"/>
      <c r="P170" s="1377"/>
      <c r="Q170" s="1377"/>
      <c r="R170" s="1377"/>
      <c r="S170" s="931"/>
      <c r="T170" s="1377"/>
      <c r="U170" s="931"/>
      <c r="V170" s="1377"/>
      <c r="W170" s="1377"/>
      <c r="X170" s="1377"/>
      <c r="Y170" s="1377"/>
      <c r="Z170" s="1377"/>
      <c r="AA170" s="1377"/>
      <c r="AB170" s="1377"/>
    </row>
    <row r="171" spans="1:28">
      <c r="A171" s="762"/>
      <c r="B171" s="762"/>
      <c r="C171" s="762"/>
      <c r="D171" s="762"/>
      <c r="E171" s="762"/>
      <c r="F171" s="762"/>
      <c r="G171" s="762"/>
      <c r="H171" s="762"/>
      <c r="I171" s="762"/>
      <c r="J171" s="762"/>
      <c r="K171" s="762"/>
      <c r="L171" s="1377"/>
      <c r="M171" s="1377"/>
      <c r="N171" s="1377"/>
      <c r="O171" s="1377"/>
      <c r="P171" s="1377"/>
      <c r="Q171" s="1377"/>
      <c r="R171" s="1377"/>
      <c r="S171" s="931"/>
      <c r="T171" s="1377"/>
      <c r="U171" s="931"/>
      <c r="V171" s="1377"/>
      <c r="W171" s="1377"/>
      <c r="X171" s="1377"/>
      <c r="Y171" s="1377"/>
      <c r="Z171" s="1377"/>
      <c r="AA171" s="1377"/>
      <c r="AB171" s="1377"/>
    </row>
    <row r="172" spans="1:28">
      <c r="A172" s="762"/>
      <c r="B172" s="762"/>
      <c r="C172" s="762"/>
      <c r="D172" s="762"/>
      <c r="E172" s="762"/>
      <c r="F172" s="762"/>
      <c r="G172" s="762"/>
      <c r="H172" s="762"/>
      <c r="I172" s="762"/>
      <c r="J172" s="762"/>
      <c r="K172" s="762"/>
      <c r="L172" s="1377"/>
      <c r="M172" s="1377"/>
      <c r="N172" s="1377"/>
      <c r="O172" s="1377"/>
      <c r="P172" s="1377"/>
      <c r="Q172" s="1377"/>
      <c r="R172" s="1377"/>
      <c r="S172" s="931"/>
      <c r="T172" s="1377"/>
      <c r="U172" s="931"/>
      <c r="V172" s="1377"/>
      <c r="W172" s="1377"/>
      <c r="X172" s="1377"/>
      <c r="Y172" s="1377"/>
      <c r="Z172" s="1377"/>
      <c r="AA172" s="1377"/>
      <c r="AB172" s="1377"/>
    </row>
    <row r="173" spans="1:28">
      <c r="A173" s="762"/>
      <c r="B173" s="762"/>
      <c r="C173" s="762"/>
      <c r="D173" s="762"/>
      <c r="E173" s="762"/>
      <c r="F173" s="762"/>
      <c r="G173" s="762"/>
      <c r="H173" s="762"/>
      <c r="I173" s="762"/>
      <c r="J173" s="762"/>
      <c r="K173" s="762"/>
      <c r="L173" s="1377"/>
      <c r="M173" s="1377"/>
      <c r="N173" s="1377"/>
      <c r="O173" s="1377"/>
      <c r="P173" s="1377"/>
      <c r="Q173" s="1377"/>
      <c r="R173" s="1377"/>
      <c r="S173" s="931"/>
      <c r="T173" s="1377"/>
      <c r="U173" s="931"/>
      <c r="V173" s="1377"/>
      <c r="W173" s="1377"/>
      <c r="X173" s="1377"/>
      <c r="Y173" s="1377"/>
      <c r="Z173" s="1377"/>
      <c r="AA173" s="1377"/>
      <c r="AB173" s="1377"/>
    </row>
    <row r="174" spans="1:28">
      <c r="A174" s="762"/>
      <c r="B174" s="762"/>
      <c r="C174" s="762"/>
      <c r="D174" s="762"/>
      <c r="E174" s="762"/>
      <c r="F174" s="762"/>
      <c r="G174" s="762"/>
      <c r="H174" s="762"/>
      <c r="I174" s="762"/>
      <c r="J174" s="762"/>
      <c r="K174" s="762"/>
      <c r="L174" s="1377"/>
      <c r="M174" s="1377"/>
      <c r="N174" s="1377"/>
      <c r="O174" s="1377"/>
      <c r="P174" s="1377"/>
      <c r="Q174" s="1377"/>
      <c r="R174" s="1377"/>
      <c r="S174" s="931"/>
      <c r="T174" s="1377"/>
      <c r="U174" s="931"/>
      <c r="V174" s="1377"/>
      <c r="W174" s="1377"/>
      <c r="X174" s="1377"/>
      <c r="Y174" s="1377"/>
      <c r="Z174" s="1377"/>
      <c r="AA174" s="1377"/>
      <c r="AB174" s="1377"/>
    </row>
    <row r="175" spans="1:28">
      <c r="A175" s="762"/>
      <c r="B175" s="762"/>
      <c r="C175" s="762"/>
      <c r="D175" s="762"/>
      <c r="E175" s="762"/>
      <c r="F175" s="762"/>
      <c r="G175" s="762"/>
      <c r="H175" s="762"/>
      <c r="I175" s="762"/>
      <c r="J175" s="762"/>
      <c r="K175" s="762"/>
      <c r="L175" s="1377"/>
      <c r="M175" s="1377"/>
      <c r="N175" s="1377"/>
      <c r="O175" s="1377"/>
      <c r="P175" s="1377"/>
      <c r="Q175" s="1377"/>
      <c r="R175" s="1377"/>
      <c r="S175" s="931"/>
      <c r="T175" s="1377"/>
      <c r="U175" s="931"/>
      <c r="V175" s="1377"/>
      <c r="W175" s="1377"/>
      <c r="X175" s="1377"/>
      <c r="Y175" s="1377"/>
      <c r="Z175" s="1377"/>
      <c r="AA175" s="1377"/>
      <c r="AB175" s="1377"/>
    </row>
    <row r="176" spans="1:28">
      <c r="A176" s="762"/>
      <c r="B176" s="762"/>
      <c r="C176" s="762"/>
      <c r="D176" s="762"/>
      <c r="E176" s="762"/>
      <c r="F176" s="762"/>
      <c r="G176" s="762"/>
      <c r="H176" s="762"/>
      <c r="I176" s="762"/>
      <c r="J176" s="762"/>
      <c r="K176" s="762"/>
      <c r="L176" s="1377"/>
      <c r="M176" s="1377"/>
      <c r="N176" s="1377"/>
      <c r="O176" s="1377"/>
      <c r="P176" s="1377"/>
      <c r="Q176" s="1377"/>
      <c r="R176" s="1377"/>
      <c r="S176" s="931"/>
      <c r="T176" s="1377"/>
      <c r="U176" s="931"/>
      <c r="V176" s="1377"/>
      <c r="W176" s="1377"/>
      <c r="X176" s="1377"/>
      <c r="Y176" s="1377"/>
      <c r="Z176" s="1377"/>
      <c r="AA176" s="1377"/>
      <c r="AB176" s="1377"/>
    </row>
    <row r="177" spans="1:28" ht="3.75" customHeight="1">
      <c r="A177" s="1379" t="s">
        <v>506</v>
      </c>
      <c r="B177" s="1377"/>
      <c r="C177" s="1377"/>
      <c r="D177" s="1377"/>
      <c r="E177" s="1377"/>
      <c r="F177" s="1377"/>
      <c r="G177" s="1377"/>
      <c r="H177" s="1377"/>
      <c r="I177" s="1377"/>
      <c r="J177" s="1377"/>
      <c r="K177" s="1377"/>
      <c r="L177" s="1377"/>
      <c r="M177" s="1377"/>
      <c r="N177" s="1377"/>
      <c r="O177" s="1377"/>
      <c r="P177" s="1377"/>
      <c r="Q177" s="1377"/>
      <c r="R177" s="1377"/>
      <c r="S177" s="931"/>
      <c r="T177" s="1377"/>
      <c r="U177" s="931"/>
      <c r="V177" s="1377"/>
      <c r="W177" s="1377"/>
      <c r="X177" s="1377"/>
      <c r="Y177" s="1377"/>
      <c r="Z177" s="1377"/>
      <c r="AA177" s="1377"/>
      <c r="AB177" s="1377"/>
    </row>
    <row r="178" spans="1:28">
      <c r="A178" s="765" t="s">
        <v>20</v>
      </c>
      <c r="B178" s="767"/>
      <c r="C178" s="452"/>
      <c r="D178" s="762"/>
      <c r="E178" s="766" t="s">
        <v>329</v>
      </c>
      <c r="F178" s="762"/>
      <c r="G178" s="762"/>
      <c r="H178" s="762"/>
      <c r="I178" s="762"/>
      <c r="J178" s="762"/>
      <c r="K178" s="762"/>
      <c r="L178" s="1377"/>
      <c r="M178" s="455"/>
      <c r="N178" s="1035"/>
      <c r="O178" s="1035"/>
      <c r="P178" s="1035"/>
      <c r="Q178" s="1035"/>
      <c r="R178" s="1035"/>
      <c r="S178" s="455"/>
      <c r="T178" s="1035"/>
      <c r="U178" s="455"/>
      <c r="V178" s="1035"/>
      <c r="W178" s="1035"/>
      <c r="X178" s="1035"/>
      <c r="Y178" s="1035"/>
      <c r="Z178" s="1035"/>
      <c r="AA178" s="1035"/>
      <c r="AB178" s="1035"/>
    </row>
    <row r="179" spans="1:28">
      <c r="A179" s="762"/>
      <c r="B179" s="762"/>
      <c r="C179" s="762"/>
      <c r="D179" s="762"/>
      <c r="E179" s="762"/>
      <c r="F179" s="762"/>
      <c r="G179" s="762"/>
      <c r="H179" s="762"/>
      <c r="I179" s="762"/>
      <c r="J179" s="762"/>
      <c r="K179" s="762"/>
      <c r="L179" s="1377"/>
      <c r="M179" s="1035"/>
      <c r="N179" s="1035"/>
      <c r="O179" s="1035"/>
      <c r="P179" s="1035"/>
      <c r="Q179" s="1035"/>
      <c r="R179" s="1035"/>
      <c r="S179" s="455"/>
      <c r="T179" s="1035"/>
      <c r="U179" s="455"/>
      <c r="V179" s="1035"/>
      <c r="W179" s="1035"/>
      <c r="X179" s="1035"/>
      <c r="Y179" s="1035"/>
      <c r="Z179" s="1035"/>
      <c r="AA179" s="1035"/>
      <c r="AB179" s="1035"/>
    </row>
    <row r="180" spans="1:28">
      <c r="A180" s="762"/>
      <c r="B180" s="762"/>
      <c r="C180" s="762"/>
      <c r="D180" s="762"/>
      <c r="E180" s="762"/>
      <c r="F180" s="762"/>
      <c r="G180" s="762"/>
      <c r="H180" s="762"/>
      <c r="I180" s="762"/>
      <c r="J180" s="762"/>
      <c r="K180" s="762"/>
      <c r="L180" s="1377"/>
      <c r="M180" s="1035"/>
      <c r="N180" s="1035"/>
      <c r="O180" s="1035"/>
      <c r="P180" s="1035"/>
      <c r="Q180" s="1035"/>
      <c r="R180" s="1035"/>
      <c r="S180" s="455"/>
      <c r="T180" s="1035"/>
      <c r="U180" s="455"/>
      <c r="V180" s="1035"/>
      <c r="W180" s="1035"/>
      <c r="X180" s="1035"/>
      <c r="Y180" s="1035"/>
      <c r="Z180" s="1035"/>
      <c r="AA180" s="1035"/>
      <c r="AB180" s="1035"/>
    </row>
    <row r="181" spans="1:28">
      <c r="A181" s="762"/>
      <c r="B181" s="762"/>
      <c r="C181" s="762"/>
      <c r="D181" s="762"/>
      <c r="E181" s="762"/>
      <c r="F181" s="762"/>
      <c r="G181" s="762"/>
      <c r="H181" s="762"/>
      <c r="I181" s="762"/>
      <c r="J181" s="762"/>
      <c r="K181" s="762"/>
      <c r="L181" s="1377"/>
      <c r="M181" s="1035"/>
      <c r="N181" s="1035"/>
      <c r="O181" s="1035"/>
      <c r="P181" s="1035"/>
      <c r="Q181" s="1035"/>
      <c r="R181" s="1035"/>
      <c r="S181" s="455"/>
      <c r="T181" s="1035"/>
      <c r="U181" s="455"/>
      <c r="V181" s="1035"/>
      <c r="W181" s="1035"/>
      <c r="X181" s="1035"/>
      <c r="Y181" s="1035"/>
      <c r="Z181" s="1035"/>
      <c r="AA181" s="1035"/>
      <c r="AB181" s="1035"/>
    </row>
    <row r="182" spans="1:28">
      <c r="A182" s="762"/>
      <c r="B182" s="762"/>
      <c r="C182" s="762"/>
      <c r="D182" s="762"/>
      <c r="E182" s="762"/>
      <c r="F182" s="762"/>
      <c r="G182" s="762"/>
      <c r="H182" s="762"/>
      <c r="I182" s="762"/>
      <c r="J182" s="762"/>
      <c r="K182" s="762"/>
      <c r="L182" s="1377"/>
      <c r="M182" s="1035"/>
      <c r="N182" s="1035"/>
      <c r="O182" s="1035"/>
      <c r="P182" s="1035"/>
      <c r="Q182" s="1035"/>
      <c r="R182" s="1035"/>
      <c r="S182" s="455"/>
      <c r="T182" s="1035"/>
      <c r="U182" s="455"/>
      <c r="V182" s="1035"/>
      <c r="W182" s="1035"/>
      <c r="X182" s="1035"/>
      <c r="Y182" s="1035"/>
      <c r="Z182" s="1035"/>
      <c r="AA182" s="1035"/>
      <c r="AB182" s="1035"/>
    </row>
    <row r="183" spans="1:28">
      <c r="A183" s="762"/>
      <c r="B183" s="762"/>
      <c r="C183" s="762"/>
      <c r="D183" s="762"/>
      <c r="E183" s="762"/>
      <c r="F183" s="762"/>
      <c r="G183" s="762"/>
      <c r="H183" s="762"/>
      <c r="I183" s="762"/>
      <c r="J183" s="762"/>
      <c r="K183" s="762"/>
      <c r="L183" s="1377"/>
      <c r="M183" s="1035"/>
      <c r="N183" s="1035"/>
      <c r="O183" s="1035"/>
      <c r="P183" s="1035"/>
      <c r="Q183" s="1035"/>
      <c r="R183" s="1035"/>
      <c r="S183" s="455"/>
      <c r="T183" s="1035"/>
      <c r="U183" s="455"/>
      <c r="V183" s="1035"/>
      <c r="W183" s="1035"/>
      <c r="X183" s="1035"/>
      <c r="Y183" s="1035"/>
      <c r="Z183" s="1035"/>
      <c r="AA183" s="1035"/>
      <c r="AB183" s="1035"/>
    </row>
    <row r="184" spans="1:28">
      <c r="A184" s="762"/>
      <c r="B184" s="762"/>
      <c r="C184" s="762"/>
      <c r="D184" s="762"/>
      <c r="E184" s="762"/>
      <c r="F184" s="762"/>
      <c r="G184" s="762"/>
      <c r="H184" s="762"/>
      <c r="I184" s="762"/>
      <c r="J184" s="762"/>
      <c r="K184" s="762"/>
      <c r="L184" s="1377"/>
      <c r="M184" s="1035"/>
      <c r="N184" s="1035"/>
      <c r="O184" s="1035"/>
      <c r="P184" s="1035"/>
      <c r="Q184" s="1035"/>
      <c r="R184" s="1035"/>
      <c r="S184" s="455"/>
      <c r="T184" s="1035"/>
      <c r="U184" s="455"/>
      <c r="V184" s="1035"/>
      <c r="W184" s="1035"/>
      <c r="X184" s="1035"/>
      <c r="Y184" s="1035"/>
      <c r="Z184" s="1035"/>
      <c r="AA184" s="1035"/>
      <c r="AB184" s="1035"/>
    </row>
    <row r="185" spans="1:28">
      <c r="A185" s="762"/>
      <c r="B185" s="762"/>
      <c r="C185" s="762"/>
      <c r="D185" s="762"/>
      <c r="E185" s="762"/>
      <c r="F185" s="762"/>
      <c r="G185" s="762"/>
      <c r="H185" s="762"/>
      <c r="I185" s="762"/>
      <c r="J185" s="762"/>
      <c r="K185" s="762"/>
      <c r="L185" s="1377"/>
      <c r="M185" s="1035"/>
      <c r="N185" s="1035"/>
      <c r="O185" s="1035"/>
      <c r="P185" s="1035"/>
      <c r="Q185" s="1035"/>
      <c r="R185" s="1035"/>
      <c r="S185" s="455"/>
      <c r="T185" s="1035"/>
      <c r="U185" s="455"/>
      <c r="V185" s="1035"/>
      <c r="W185" s="1035"/>
      <c r="X185" s="1035"/>
      <c r="Y185" s="1035"/>
      <c r="Z185" s="1035"/>
      <c r="AA185" s="1035"/>
      <c r="AB185" s="1035"/>
    </row>
    <row r="186" spans="1:28">
      <c r="A186" s="762"/>
      <c r="B186" s="762"/>
      <c r="C186" s="762"/>
      <c r="D186" s="762"/>
      <c r="E186" s="762"/>
      <c r="F186" s="762"/>
      <c r="G186" s="762"/>
      <c r="H186" s="762"/>
      <c r="I186" s="762"/>
      <c r="J186" s="762"/>
      <c r="K186" s="762"/>
      <c r="L186" s="1377"/>
      <c r="M186" s="1035"/>
      <c r="N186" s="1035"/>
      <c r="O186" s="1035"/>
      <c r="P186" s="1035"/>
      <c r="Q186" s="1035"/>
      <c r="R186" s="1035"/>
      <c r="S186" s="455"/>
      <c r="T186" s="1035"/>
      <c r="U186" s="455"/>
      <c r="V186" s="1035"/>
      <c r="W186" s="1035"/>
      <c r="X186" s="1035"/>
      <c r="Y186" s="1035"/>
      <c r="Z186" s="1035"/>
      <c r="AA186" s="1035"/>
      <c r="AB186" s="1035"/>
    </row>
    <row r="187" spans="1:28">
      <c r="A187" s="762"/>
      <c r="B187" s="762"/>
      <c r="C187" s="762"/>
      <c r="D187" s="762"/>
      <c r="E187" s="762"/>
      <c r="F187" s="762"/>
      <c r="G187" s="762"/>
      <c r="H187" s="762"/>
      <c r="I187" s="762"/>
      <c r="J187" s="762"/>
      <c r="K187" s="762"/>
      <c r="L187" s="1377"/>
      <c r="M187" s="1035"/>
      <c r="N187" s="1035"/>
      <c r="O187" s="1035"/>
      <c r="P187" s="1035"/>
      <c r="Q187" s="1035"/>
      <c r="R187" s="1035"/>
      <c r="S187" s="455"/>
      <c r="T187" s="1035"/>
      <c r="U187" s="455"/>
      <c r="V187" s="1035"/>
      <c r="W187" s="1035"/>
      <c r="X187" s="1035"/>
      <c r="Y187" s="1035"/>
      <c r="Z187" s="1035"/>
      <c r="AA187" s="1035"/>
      <c r="AB187" s="1035"/>
    </row>
    <row r="188" spans="1:28">
      <c r="A188" s="762"/>
      <c r="B188" s="762"/>
      <c r="C188" s="762"/>
      <c r="D188" s="762"/>
      <c r="E188" s="762"/>
      <c r="F188" s="762"/>
      <c r="G188" s="762"/>
      <c r="H188" s="762"/>
      <c r="I188" s="762"/>
      <c r="J188" s="762"/>
      <c r="K188" s="762"/>
      <c r="L188" s="1377"/>
      <c r="M188" s="1035"/>
      <c r="N188" s="1035"/>
      <c r="O188" s="1035"/>
      <c r="P188" s="1035"/>
      <c r="Q188" s="1035"/>
      <c r="R188" s="1035"/>
      <c r="S188" s="455"/>
      <c r="T188" s="1035"/>
      <c r="U188" s="455"/>
      <c r="V188" s="1035"/>
      <c r="W188" s="1035"/>
      <c r="X188" s="1035"/>
      <c r="Y188" s="1035"/>
      <c r="Z188" s="1035"/>
      <c r="AA188" s="1035"/>
      <c r="AB188" s="1035"/>
    </row>
    <row r="189" spans="1:28">
      <c r="A189" s="762"/>
      <c r="B189" s="762"/>
      <c r="C189" s="762"/>
      <c r="D189" s="762"/>
      <c r="E189" s="762"/>
      <c r="F189" s="762"/>
      <c r="G189" s="762"/>
      <c r="H189" s="762"/>
      <c r="I189" s="762"/>
      <c r="J189" s="762"/>
      <c r="K189" s="762"/>
      <c r="L189" s="1377"/>
      <c r="M189" s="1035"/>
      <c r="N189" s="1035"/>
      <c r="O189" s="1035"/>
      <c r="P189" s="1035"/>
      <c r="Q189" s="1035"/>
      <c r="R189" s="1035"/>
      <c r="S189" s="455"/>
      <c r="T189" s="1035"/>
      <c r="U189" s="455"/>
      <c r="V189" s="1035"/>
      <c r="W189" s="1035"/>
      <c r="X189" s="1035"/>
      <c r="Y189" s="1035"/>
      <c r="Z189" s="1035"/>
      <c r="AA189" s="1035"/>
      <c r="AB189" s="1035"/>
    </row>
    <row r="190" spans="1:28">
      <c r="A190" s="762"/>
      <c r="B190" s="762"/>
      <c r="C190" s="762"/>
      <c r="D190" s="762"/>
      <c r="E190" s="762"/>
      <c r="F190" s="762"/>
      <c r="G190" s="762"/>
      <c r="H190" s="762"/>
      <c r="I190" s="762"/>
      <c r="J190" s="762"/>
      <c r="K190" s="762"/>
      <c r="L190" s="1377"/>
      <c r="M190" s="1035"/>
      <c r="N190" s="1035"/>
      <c r="O190" s="1035"/>
      <c r="P190" s="1035"/>
      <c r="Q190" s="1035"/>
      <c r="R190" s="1035"/>
      <c r="S190" s="455"/>
      <c r="T190" s="1035"/>
      <c r="U190" s="455"/>
      <c r="V190" s="1035"/>
      <c r="W190" s="1035"/>
      <c r="X190" s="1035"/>
      <c r="Y190" s="1035"/>
      <c r="Z190" s="1035"/>
      <c r="AA190" s="1035"/>
      <c r="AB190" s="1035"/>
    </row>
    <row r="191" spans="1:28">
      <c r="A191" s="762"/>
      <c r="B191" s="762"/>
      <c r="C191" s="762"/>
      <c r="D191" s="762"/>
      <c r="E191" s="762"/>
      <c r="F191" s="762"/>
      <c r="G191" s="762"/>
      <c r="H191" s="762"/>
      <c r="I191" s="762"/>
      <c r="J191" s="762"/>
      <c r="K191" s="762"/>
      <c r="L191" s="1377"/>
      <c r="M191" s="1035"/>
      <c r="N191" s="1035"/>
      <c r="O191" s="1035"/>
      <c r="P191" s="1035"/>
      <c r="Q191" s="1035"/>
      <c r="R191" s="1035"/>
      <c r="S191" s="455"/>
      <c r="T191" s="1035"/>
      <c r="U191" s="455"/>
      <c r="V191" s="1035"/>
      <c r="W191" s="1035"/>
      <c r="X191" s="1035"/>
      <c r="Y191" s="1035"/>
      <c r="Z191" s="1035"/>
      <c r="AA191" s="1035"/>
      <c r="AB191" s="1035"/>
    </row>
    <row r="192" spans="1:28">
      <c r="A192" s="762"/>
      <c r="B192" s="762"/>
      <c r="C192" s="762"/>
      <c r="D192" s="762"/>
      <c r="E192" s="762"/>
      <c r="F192" s="762"/>
      <c r="G192" s="762"/>
      <c r="H192" s="762"/>
      <c r="I192" s="762"/>
      <c r="J192" s="762"/>
      <c r="K192" s="762"/>
      <c r="L192" s="1377"/>
      <c r="M192" s="1035"/>
      <c r="N192" s="1035"/>
      <c r="O192" s="1035"/>
      <c r="P192" s="1035"/>
      <c r="Q192" s="1035"/>
      <c r="R192" s="1035"/>
      <c r="S192" s="455"/>
      <c r="T192" s="1035"/>
      <c r="U192" s="455"/>
      <c r="V192" s="1035"/>
      <c r="W192" s="1035"/>
      <c r="X192" s="1035"/>
      <c r="Y192" s="1035"/>
      <c r="Z192" s="1035"/>
      <c r="AA192" s="1035"/>
      <c r="AB192" s="1035"/>
    </row>
    <row r="193" spans="1:28">
      <c r="A193" s="762"/>
      <c r="B193" s="762"/>
      <c r="C193" s="762"/>
      <c r="D193" s="762"/>
      <c r="E193" s="762"/>
      <c r="F193" s="762"/>
      <c r="G193" s="762"/>
      <c r="H193" s="762"/>
      <c r="I193" s="762"/>
      <c r="J193" s="762"/>
      <c r="K193" s="762"/>
      <c r="L193" s="1377"/>
      <c r="M193" s="1035"/>
      <c r="N193" s="1035"/>
      <c r="O193" s="1035"/>
      <c r="P193" s="1035"/>
      <c r="Q193" s="1035"/>
      <c r="R193" s="1035"/>
      <c r="S193" s="455"/>
      <c r="T193" s="1035"/>
      <c r="U193" s="455"/>
      <c r="V193" s="1035"/>
      <c r="W193" s="1035"/>
      <c r="X193" s="1035"/>
      <c r="Y193" s="1035"/>
      <c r="Z193" s="1035"/>
      <c r="AA193" s="1035"/>
      <c r="AB193" s="1035"/>
    </row>
    <row r="194" spans="1:28">
      <c r="A194" s="762"/>
      <c r="B194" s="762"/>
      <c r="C194" s="762"/>
      <c r="D194" s="762"/>
      <c r="E194" s="762"/>
      <c r="F194" s="762"/>
      <c r="G194" s="762"/>
      <c r="H194" s="762"/>
      <c r="I194" s="762"/>
      <c r="J194" s="762"/>
      <c r="K194" s="762"/>
      <c r="L194" s="1377"/>
      <c r="M194" s="1035"/>
      <c r="N194" s="1035"/>
      <c r="O194" s="1035"/>
      <c r="P194" s="1035"/>
      <c r="Q194" s="1035"/>
      <c r="R194" s="1035"/>
      <c r="S194" s="455"/>
      <c r="T194" s="1035"/>
      <c r="U194" s="455"/>
      <c r="V194" s="1035"/>
      <c r="W194" s="1035"/>
      <c r="X194" s="1035"/>
      <c r="Y194" s="1035"/>
      <c r="Z194" s="1035"/>
      <c r="AA194" s="1035"/>
      <c r="AB194" s="1035"/>
    </row>
    <row r="195" spans="1:28">
      <c r="A195" s="762"/>
      <c r="B195" s="762"/>
      <c r="C195" s="762"/>
      <c r="D195" s="762"/>
      <c r="E195" s="762"/>
      <c r="F195" s="762"/>
      <c r="G195" s="762"/>
      <c r="H195" s="762"/>
      <c r="I195" s="762"/>
      <c r="J195" s="762"/>
      <c r="K195" s="762"/>
      <c r="L195" s="1377"/>
      <c r="M195" s="1035"/>
      <c r="N195" s="1035"/>
      <c r="O195" s="1035"/>
      <c r="P195" s="1035"/>
      <c r="Q195" s="1035"/>
      <c r="R195" s="1035"/>
      <c r="S195" s="455"/>
      <c r="T195" s="1035"/>
      <c r="U195" s="455"/>
      <c r="V195" s="1035"/>
      <c r="W195" s="1035"/>
      <c r="X195" s="1035"/>
      <c r="Y195" s="1035"/>
      <c r="Z195" s="1035"/>
      <c r="AA195" s="1035"/>
      <c r="AB195" s="1035"/>
    </row>
    <row r="196" spans="1:28">
      <c r="A196" s="762"/>
      <c r="B196" s="762"/>
      <c r="C196" s="762"/>
      <c r="D196" s="762"/>
      <c r="E196" s="762"/>
      <c r="F196" s="762"/>
      <c r="G196" s="762"/>
      <c r="H196" s="762"/>
      <c r="I196" s="762"/>
      <c r="J196" s="762"/>
      <c r="K196" s="762"/>
      <c r="L196" s="1377"/>
      <c r="M196" s="1035"/>
      <c r="N196" s="1035"/>
      <c r="O196" s="1035"/>
      <c r="P196" s="1035"/>
      <c r="Q196" s="1035"/>
      <c r="R196" s="1035"/>
      <c r="S196" s="455"/>
      <c r="T196" s="1035"/>
      <c r="U196" s="455"/>
      <c r="V196" s="1035"/>
      <c r="W196" s="1035"/>
      <c r="X196" s="1035"/>
      <c r="Y196" s="1035"/>
      <c r="Z196" s="1035"/>
      <c r="AA196" s="1035"/>
      <c r="AB196" s="1035"/>
    </row>
    <row r="197" spans="1:28">
      <c r="A197" s="762"/>
      <c r="B197" s="762"/>
      <c r="C197" s="762"/>
      <c r="D197" s="762"/>
      <c r="E197" s="762"/>
      <c r="F197" s="762"/>
      <c r="G197" s="762"/>
      <c r="H197" s="762"/>
      <c r="I197" s="762"/>
      <c r="J197" s="762"/>
      <c r="K197" s="762"/>
      <c r="L197" s="1377"/>
      <c r="M197" s="1035"/>
      <c r="N197" s="1035"/>
      <c r="O197" s="1035"/>
      <c r="P197" s="1035"/>
      <c r="Q197" s="1035"/>
      <c r="R197" s="1035"/>
      <c r="S197" s="455"/>
      <c r="T197" s="1035"/>
      <c r="U197" s="455"/>
      <c r="V197" s="1035"/>
      <c r="W197" s="1035"/>
      <c r="X197" s="1035"/>
      <c r="Y197" s="1035"/>
      <c r="Z197" s="1035"/>
      <c r="AA197" s="1035"/>
      <c r="AB197" s="1035"/>
    </row>
    <row r="198" spans="1:28">
      <c r="A198" s="762"/>
      <c r="B198" s="762"/>
      <c r="C198" s="762"/>
      <c r="D198" s="762"/>
      <c r="E198" s="762"/>
      <c r="F198" s="762"/>
      <c r="G198" s="762"/>
      <c r="H198" s="762"/>
      <c r="I198" s="762"/>
      <c r="J198" s="762"/>
      <c r="K198" s="762"/>
      <c r="L198" s="1377"/>
      <c r="M198" s="1035"/>
      <c r="N198" s="1035"/>
      <c r="O198" s="1035"/>
      <c r="P198" s="1035"/>
      <c r="Q198" s="1035"/>
      <c r="R198" s="1035"/>
      <c r="S198" s="455"/>
      <c r="T198" s="1035"/>
      <c r="U198" s="455"/>
      <c r="V198" s="1035"/>
      <c r="W198" s="1035"/>
      <c r="X198" s="1035"/>
      <c r="Y198" s="1035"/>
      <c r="Z198" s="1035"/>
      <c r="AA198" s="1035"/>
      <c r="AB198" s="1035"/>
    </row>
    <row r="199" spans="1:28">
      <c r="A199" s="762"/>
      <c r="B199" s="762"/>
      <c r="C199" s="762"/>
      <c r="D199" s="762"/>
      <c r="E199" s="762"/>
      <c r="F199" s="762"/>
      <c r="G199" s="762"/>
      <c r="H199" s="762"/>
      <c r="I199" s="762"/>
      <c r="J199" s="762"/>
      <c r="K199" s="762"/>
      <c r="L199" s="1377"/>
      <c r="M199" s="1035"/>
      <c r="N199" s="1035"/>
      <c r="O199" s="1035"/>
      <c r="P199" s="1035"/>
      <c r="Q199" s="1035"/>
      <c r="R199" s="1035"/>
      <c r="S199" s="455"/>
      <c r="T199" s="1035"/>
      <c r="U199" s="455"/>
      <c r="V199" s="1035"/>
      <c r="W199" s="1035"/>
      <c r="X199" s="1035"/>
      <c r="Y199" s="1035"/>
      <c r="Z199" s="1035"/>
      <c r="AA199" s="1035"/>
      <c r="AB199" s="1035"/>
    </row>
    <row r="200" spans="1:28">
      <c r="A200" s="762"/>
      <c r="B200" s="762"/>
      <c r="C200" s="762"/>
      <c r="D200" s="762"/>
      <c r="E200" s="762"/>
      <c r="F200" s="762"/>
      <c r="G200" s="762"/>
      <c r="H200" s="762"/>
      <c r="I200" s="762"/>
      <c r="J200" s="762"/>
      <c r="K200" s="762"/>
      <c r="L200" s="1377"/>
      <c r="M200" s="1035"/>
      <c r="N200" s="1035"/>
      <c r="O200" s="1035"/>
      <c r="P200" s="1035"/>
      <c r="Q200" s="1035"/>
      <c r="R200" s="1035"/>
      <c r="S200" s="455"/>
      <c r="T200" s="1035"/>
      <c r="U200" s="455"/>
      <c r="V200" s="1035"/>
      <c r="W200" s="1035"/>
      <c r="X200" s="1035"/>
      <c r="Y200" s="1035"/>
      <c r="Z200" s="1035"/>
      <c r="AA200" s="1035"/>
      <c r="AB200" s="1035"/>
    </row>
    <row r="201" spans="1:28">
      <c r="A201" s="762"/>
      <c r="B201" s="762"/>
      <c r="C201" s="762"/>
      <c r="D201" s="762"/>
      <c r="E201" s="762"/>
      <c r="F201" s="762"/>
      <c r="G201" s="762"/>
      <c r="H201" s="762"/>
      <c r="I201" s="762"/>
      <c r="J201" s="762"/>
      <c r="K201" s="762"/>
      <c r="L201" s="1377"/>
      <c r="M201" s="1035"/>
      <c r="N201" s="1035"/>
      <c r="O201" s="1035"/>
      <c r="P201" s="1035"/>
      <c r="Q201" s="1035"/>
      <c r="R201" s="1035"/>
      <c r="S201" s="455"/>
      <c r="T201" s="1035"/>
      <c r="U201" s="455"/>
      <c r="V201" s="1035"/>
      <c r="W201" s="1035"/>
      <c r="X201" s="1035"/>
      <c r="Y201" s="1035"/>
      <c r="Z201" s="1035"/>
      <c r="AA201" s="1035"/>
      <c r="AB201" s="1035"/>
    </row>
    <row r="202" spans="1:28">
      <c r="A202" s="762"/>
      <c r="B202" s="762"/>
      <c r="C202" s="762"/>
      <c r="D202" s="762"/>
      <c r="E202" s="762"/>
      <c r="F202" s="762"/>
      <c r="G202" s="762"/>
      <c r="H202" s="762"/>
      <c r="I202" s="762"/>
      <c r="J202" s="762"/>
      <c r="K202" s="762"/>
      <c r="L202" s="1377"/>
      <c r="M202" s="1035"/>
      <c r="N202" s="1035"/>
      <c r="O202" s="1035"/>
      <c r="P202" s="1035"/>
      <c r="Q202" s="1035"/>
      <c r="R202" s="1035"/>
      <c r="S202" s="455"/>
      <c r="T202" s="1035"/>
      <c r="U202" s="455"/>
      <c r="V202" s="1035"/>
      <c r="W202" s="1035"/>
      <c r="X202" s="1035"/>
      <c r="Y202" s="1035"/>
      <c r="Z202" s="1035"/>
      <c r="AA202" s="1035"/>
      <c r="AB202" s="1035"/>
    </row>
    <row r="203" spans="1:28">
      <c r="A203" s="762"/>
      <c r="B203" s="762"/>
      <c r="C203" s="762"/>
      <c r="D203" s="762"/>
      <c r="E203" s="762"/>
      <c r="F203" s="762"/>
      <c r="G203" s="762"/>
      <c r="H203" s="762"/>
      <c r="I203" s="762"/>
      <c r="J203" s="762"/>
      <c r="K203" s="762"/>
      <c r="L203" s="1377"/>
      <c r="M203" s="1035"/>
      <c r="N203" s="1035"/>
      <c r="O203" s="1035"/>
      <c r="P203" s="1035"/>
      <c r="Q203" s="1035"/>
      <c r="R203" s="1035"/>
      <c r="S203" s="455"/>
      <c r="T203" s="1035"/>
      <c r="U203" s="455"/>
      <c r="V203" s="1035"/>
      <c r="W203" s="1035"/>
      <c r="X203" s="1035"/>
      <c r="Y203" s="1035"/>
      <c r="Z203" s="1035"/>
      <c r="AA203" s="1035"/>
      <c r="AB203" s="1035"/>
    </row>
    <row r="204" spans="1:28">
      <c r="A204" s="762"/>
      <c r="B204" s="762"/>
      <c r="C204" s="762"/>
      <c r="D204" s="762"/>
      <c r="E204" s="762"/>
      <c r="F204" s="762"/>
      <c r="G204" s="762"/>
      <c r="H204" s="762"/>
      <c r="I204" s="762"/>
      <c r="J204" s="762"/>
      <c r="K204" s="762"/>
      <c r="L204" s="1377"/>
      <c r="M204" s="1035"/>
      <c r="N204" s="1035"/>
      <c r="O204" s="1035"/>
      <c r="P204" s="1035"/>
      <c r="Q204" s="1035"/>
      <c r="R204" s="1035"/>
      <c r="S204" s="455"/>
      <c r="T204" s="1035"/>
      <c r="U204" s="455"/>
      <c r="V204" s="1035"/>
      <c r="W204" s="1035"/>
      <c r="X204" s="1035"/>
      <c r="Y204" s="1035"/>
      <c r="Z204" s="1035"/>
      <c r="AA204" s="1035"/>
      <c r="AB204" s="1035"/>
    </row>
    <row r="205" spans="1:28">
      <c r="A205" s="762"/>
      <c r="B205" s="762"/>
      <c r="C205" s="762"/>
      <c r="D205" s="762"/>
      <c r="E205" s="762"/>
      <c r="F205" s="762"/>
      <c r="G205" s="762"/>
      <c r="H205" s="762"/>
      <c r="I205" s="762"/>
      <c r="J205" s="762"/>
      <c r="K205" s="762"/>
      <c r="L205" s="1377"/>
      <c r="M205" s="1035"/>
      <c r="N205" s="1035"/>
      <c r="O205" s="1035"/>
      <c r="P205" s="1035"/>
      <c r="Q205" s="1035"/>
      <c r="R205" s="1035"/>
      <c r="S205" s="455"/>
      <c r="T205" s="1035"/>
      <c r="U205" s="455"/>
      <c r="V205" s="1035"/>
      <c r="W205" s="1035"/>
      <c r="X205" s="1035"/>
      <c r="Y205" s="1035"/>
      <c r="Z205" s="1035"/>
      <c r="AA205" s="1035"/>
      <c r="AB205" s="1035"/>
    </row>
    <row r="206" spans="1:28">
      <c r="A206" s="762"/>
      <c r="B206" s="762"/>
      <c r="C206" s="762"/>
      <c r="D206" s="762"/>
      <c r="E206" s="762"/>
      <c r="F206" s="762"/>
      <c r="G206" s="762"/>
      <c r="H206" s="762"/>
      <c r="I206" s="762"/>
      <c r="J206" s="762"/>
      <c r="K206" s="762"/>
      <c r="L206" s="1377"/>
      <c r="M206" s="1035"/>
      <c r="N206" s="1035"/>
      <c r="O206" s="1035"/>
      <c r="P206" s="1035"/>
      <c r="Q206" s="1035"/>
      <c r="R206" s="1035"/>
      <c r="S206" s="455"/>
      <c r="T206" s="1035"/>
      <c r="U206" s="455"/>
      <c r="V206" s="1035"/>
      <c r="W206" s="1035"/>
      <c r="X206" s="1035"/>
      <c r="Y206" s="1035"/>
      <c r="Z206" s="1035"/>
      <c r="AA206" s="1035"/>
      <c r="AB206" s="1035"/>
    </row>
    <row r="207" spans="1:28">
      <c r="A207" s="762"/>
      <c r="B207" s="762"/>
      <c r="C207" s="762"/>
      <c r="D207" s="455"/>
      <c r="E207" s="766" t="s">
        <v>328</v>
      </c>
      <c r="F207" s="762"/>
      <c r="G207" s="762"/>
      <c r="H207" s="762"/>
      <c r="I207" s="762"/>
      <c r="J207" s="762"/>
      <c r="K207" s="762"/>
      <c r="L207" s="1377"/>
      <c r="M207" s="1377"/>
      <c r="N207" s="1377"/>
      <c r="O207" s="1377"/>
      <c r="P207" s="1377"/>
      <c r="Q207" s="1377"/>
      <c r="R207" s="1377"/>
      <c r="S207" s="931"/>
      <c r="T207" s="1377"/>
      <c r="U207" s="931"/>
      <c r="V207" s="1377"/>
      <c r="W207" s="1377"/>
      <c r="X207" s="1377"/>
      <c r="Y207" s="1377"/>
      <c r="Z207" s="1377"/>
      <c r="AA207" s="1377"/>
      <c r="AB207" s="1377"/>
    </row>
    <row r="208" spans="1:28">
      <c r="A208" s="762"/>
      <c r="B208" s="762"/>
      <c r="C208" s="762"/>
      <c r="D208" s="762"/>
      <c r="E208" s="762"/>
      <c r="F208" s="762"/>
      <c r="G208" s="762"/>
      <c r="H208" s="762"/>
      <c r="I208" s="762"/>
      <c r="J208" s="762"/>
      <c r="K208" s="762"/>
      <c r="L208" s="1377"/>
      <c r="M208" s="1377"/>
      <c r="N208" s="1377"/>
      <c r="O208" s="1377"/>
      <c r="P208" s="1377"/>
      <c r="Q208" s="1377"/>
      <c r="R208" s="1377"/>
      <c r="S208" s="931"/>
      <c r="T208" s="1377"/>
      <c r="U208" s="931"/>
      <c r="V208" s="1377"/>
      <c r="W208" s="1377"/>
      <c r="X208" s="1377"/>
      <c r="Y208" s="1377"/>
      <c r="Z208" s="1377"/>
      <c r="AA208" s="1377"/>
      <c r="AB208" s="1377"/>
    </row>
    <row r="209" spans="1:28">
      <c r="A209" s="762"/>
      <c r="B209" s="762"/>
      <c r="C209" s="762"/>
      <c r="D209" s="762"/>
      <c r="E209" s="762"/>
      <c r="F209" s="762"/>
      <c r="G209" s="762"/>
      <c r="H209" s="762"/>
      <c r="I209" s="762"/>
      <c r="J209" s="762"/>
      <c r="K209" s="762"/>
      <c r="L209" s="1377"/>
      <c r="M209" s="1377"/>
      <c r="N209" s="1377"/>
      <c r="O209" s="1377"/>
      <c r="P209" s="1377"/>
      <c r="Q209" s="1377"/>
      <c r="R209" s="1377"/>
      <c r="S209" s="931"/>
      <c r="T209" s="1377"/>
      <c r="U209" s="931"/>
      <c r="V209" s="1377"/>
      <c r="W209" s="1377"/>
      <c r="X209" s="1377"/>
      <c r="Y209" s="1377"/>
      <c r="Z209" s="1377"/>
      <c r="AA209" s="1377"/>
      <c r="AB209" s="1377"/>
    </row>
    <row r="210" spans="1:28">
      <c r="A210" s="762"/>
      <c r="B210" s="762"/>
      <c r="C210" s="762"/>
      <c r="D210" s="762"/>
      <c r="E210" s="762"/>
      <c r="F210" s="762"/>
      <c r="G210" s="762"/>
      <c r="H210" s="762"/>
      <c r="I210" s="762"/>
      <c r="J210" s="762"/>
      <c r="K210" s="762"/>
      <c r="L210" s="1377"/>
      <c r="M210" s="1377"/>
      <c r="N210" s="1377"/>
      <c r="O210" s="1377"/>
      <c r="P210" s="1377"/>
      <c r="Q210" s="1377"/>
      <c r="R210" s="1377"/>
      <c r="S210" s="931"/>
      <c r="T210" s="1377"/>
      <c r="U210" s="931"/>
      <c r="V210" s="1377"/>
      <c r="W210" s="1377"/>
      <c r="X210" s="1377"/>
      <c r="Y210" s="1377"/>
      <c r="Z210" s="1377"/>
      <c r="AA210" s="1377"/>
      <c r="AB210" s="1377"/>
    </row>
    <row r="211" spans="1:28">
      <c r="A211" s="762"/>
      <c r="B211" s="762"/>
      <c r="C211" s="762"/>
      <c r="D211" s="762"/>
      <c r="E211" s="762"/>
      <c r="F211" s="762"/>
      <c r="G211" s="762"/>
      <c r="H211" s="762"/>
      <c r="I211" s="762"/>
      <c r="J211" s="762"/>
      <c r="K211" s="762"/>
      <c r="L211" s="1377"/>
      <c r="M211" s="1377"/>
      <c r="N211" s="1377"/>
      <c r="O211" s="1377"/>
      <c r="P211" s="1377"/>
      <c r="Q211" s="1377"/>
      <c r="R211" s="1377"/>
      <c r="S211" s="931"/>
      <c r="T211" s="1377"/>
      <c r="U211" s="931"/>
      <c r="V211" s="1377"/>
      <c r="W211" s="1377"/>
      <c r="X211" s="1377"/>
      <c r="Y211" s="1377"/>
      <c r="Z211" s="1377"/>
      <c r="AA211" s="1377"/>
      <c r="AB211" s="1377"/>
    </row>
    <row r="212" spans="1:28">
      <c r="A212" s="762"/>
      <c r="B212" s="762"/>
      <c r="C212" s="762"/>
      <c r="D212" s="762"/>
      <c r="E212" s="762"/>
      <c r="F212" s="762"/>
      <c r="G212" s="762"/>
      <c r="H212" s="762"/>
      <c r="I212" s="762"/>
      <c r="J212" s="762"/>
      <c r="K212" s="762"/>
      <c r="L212" s="1377"/>
      <c r="M212" s="1377"/>
      <c r="N212" s="1377"/>
      <c r="O212" s="1377"/>
      <c r="P212" s="1377"/>
      <c r="Q212" s="1377"/>
      <c r="R212" s="1377"/>
      <c r="S212" s="931"/>
      <c r="T212" s="1377"/>
      <c r="U212" s="931"/>
      <c r="V212" s="1377"/>
      <c r="W212" s="1377"/>
      <c r="X212" s="1377"/>
      <c r="Y212" s="1377"/>
      <c r="Z212" s="1377"/>
      <c r="AA212" s="1377"/>
      <c r="AB212" s="1377"/>
    </row>
    <row r="213" spans="1:28">
      <c r="A213" s="762"/>
      <c r="B213" s="762"/>
      <c r="C213" s="762"/>
      <c r="D213" s="762"/>
      <c r="E213" s="762"/>
      <c r="F213" s="762"/>
      <c r="G213" s="762"/>
      <c r="H213" s="762"/>
      <c r="I213" s="762"/>
      <c r="J213" s="762"/>
      <c r="K213" s="762"/>
      <c r="L213" s="1377"/>
      <c r="M213" s="1377"/>
      <c r="N213" s="1377"/>
      <c r="O213" s="1377"/>
      <c r="P213" s="1377"/>
      <c r="Q213" s="1377"/>
      <c r="R213" s="1377"/>
      <c r="S213" s="931"/>
      <c r="T213" s="1377"/>
      <c r="U213" s="931"/>
      <c r="V213" s="1377"/>
      <c r="W213" s="1377"/>
      <c r="X213" s="1377"/>
      <c r="Y213" s="1377"/>
      <c r="Z213" s="1377"/>
      <c r="AA213" s="1377"/>
      <c r="AB213" s="1377"/>
    </row>
    <row r="214" spans="1:28">
      <c r="A214" s="762"/>
      <c r="B214" s="762"/>
      <c r="C214" s="762"/>
      <c r="D214" s="762"/>
      <c r="E214" s="762"/>
      <c r="F214" s="762"/>
      <c r="G214" s="762"/>
      <c r="H214" s="762"/>
      <c r="I214" s="762"/>
      <c r="J214" s="762"/>
      <c r="K214" s="762"/>
      <c r="L214" s="1377"/>
      <c r="M214" s="1377"/>
      <c r="N214" s="1377"/>
      <c r="O214" s="1377"/>
      <c r="P214" s="1377"/>
      <c r="Q214" s="1377"/>
      <c r="R214" s="1377"/>
      <c r="S214" s="931"/>
      <c r="T214" s="1377"/>
      <c r="U214" s="931"/>
      <c r="V214" s="1377"/>
      <c r="W214" s="1377"/>
      <c r="X214" s="1377"/>
      <c r="Y214" s="1377"/>
      <c r="Z214" s="1377"/>
      <c r="AA214" s="1377"/>
      <c r="AB214" s="1377"/>
    </row>
    <row r="215" spans="1:28">
      <c r="A215" s="762"/>
      <c r="B215" s="762"/>
      <c r="C215" s="762"/>
      <c r="D215" s="762"/>
      <c r="E215" s="762"/>
      <c r="F215" s="762"/>
      <c r="G215" s="762"/>
      <c r="H215" s="762"/>
      <c r="I215" s="762"/>
      <c r="J215" s="762"/>
      <c r="K215" s="762"/>
      <c r="L215" s="1377"/>
      <c r="M215" s="1377"/>
      <c r="N215" s="1377"/>
      <c r="O215" s="1377"/>
      <c r="P215" s="1377"/>
      <c r="Q215" s="1377"/>
      <c r="R215" s="1377"/>
      <c r="S215" s="931"/>
      <c r="T215" s="1377"/>
      <c r="U215" s="931"/>
      <c r="V215" s="1377"/>
      <c r="W215" s="1377"/>
      <c r="X215" s="1377"/>
      <c r="Y215" s="1377"/>
      <c r="Z215" s="1377"/>
      <c r="AA215" s="1377"/>
      <c r="AB215" s="1377"/>
    </row>
    <row r="216" spans="1:28">
      <c r="A216" s="762"/>
      <c r="B216" s="762"/>
      <c r="C216" s="762"/>
      <c r="D216" s="762"/>
      <c r="E216" s="762"/>
      <c r="F216" s="762"/>
      <c r="G216" s="762"/>
      <c r="H216" s="762"/>
      <c r="I216" s="762"/>
      <c r="J216" s="762"/>
      <c r="K216" s="762"/>
      <c r="L216" s="1377"/>
      <c r="M216" s="1377"/>
      <c r="N216" s="1377"/>
      <c r="O216" s="1377"/>
      <c r="P216" s="1377"/>
      <c r="Q216" s="1377"/>
      <c r="R216" s="1377"/>
      <c r="S216" s="931"/>
      <c r="T216" s="1377"/>
      <c r="U216" s="931"/>
      <c r="V216" s="1377"/>
      <c r="W216" s="1377"/>
      <c r="X216" s="1377"/>
      <c r="Y216" s="1377"/>
      <c r="Z216" s="1377"/>
      <c r="AA216" s="1377"/>
      <c r="AB216" s="1377"/>
    </row>
    <row r="217" spans="1:28">
      <c r="A217" s="762"/>
      <c r="B217" s="762"/>
      <c r="C217" s="762"/>
      <c r="D217" s="762"/>
      <c r="E217" s="762"/>
      <c r="F217" s="762"/>
      <c r="G217" s="762"/>
      <c r="H217" s="762"/>
      <c r="I217" s="762"/>
      <c r="J217" s="762"/>
      <c r="K217" s="762"/>
      <c r="L217" s="1377"/>
      <c r="M217" s="1377"/>
      <c r="N217" s="1377"/>
      <c r="O217" s="1377"/>
      <c r="P217" s="1377"/>
      <c r="Q217" s="1377"/>
      <c r="R217" s="1377"/>
      <c r="S217" s="931"/>
      <c r="T217" s="1377"/>
      <c r="U217" s="931"/>
      <c r="V217" s="1377"/>
      <c r="W217" s="1377"/>
      <c r="X217" s="1377"/>
      <c r="Y217" s="1377"/>
      <c r="Z217" s="1377"/>
      <c r="AA217" s="1377"/>
      <c r="AB217" s="1377"/>
    </row>
    <row r="218" spans="1:28">
      <c r="A218" s="762"/>
      <c r="B218" s="762"/>
      <c r="C218" s="762"/>
      <c r="D218" s="762"/>
      <c r="E218" s="762"/>
      <c r="F218" s="762"/>
      <c r="G218" s="762"/>
      <c r="H218" s="762"/>
      <c r="I218" s="762"/>
      <c r="J218" s="762"/>
      <c r="K218" s="762"/>
      <c r="L218" s="1377"/>
      <c r="M218" s="1377"/>
      <c r="N218" s="1377"/>
      <c r="O218" s="1377"/>
      <c r="P218" s="1377"/>
      <c r="Q218" s="1377"/>
      <c r="R218" s="1377"/>
      <c r="S218" s="931"/>
      <c r="T218" s="1377"/>
      <c r="U218" s="931"/>
      <c r="V218" s="1377"/>
      <c r="W218" s="1377"/>
      <c r="X218" s="1377"/>
      <c r="Y218" s="1377"/>
      <c r="Z218" s="1377"/>
      <c r="AA218" s="1377"/>
      <c r="AB218" s="1377"/>
    </row>
    <row r="219" spans="1:28">
      <c r="A219" s="762"/>
      <c r="B219" s="762"/>
      <c r="C219" s="762"/>
      <c r="D219" s="762"/>
      <c r="E219" s="762"/>
      <c r="F219" s="762"/>
      <c r="G219" s="762"/>
      <c r="H219" s="762"/>
      <c r="I219" s="762"/>
      <c r="J219" s="762"/>
      <c r="K219" s="762"/>
      <c r="L219" s="1377"/>
      <c r="M219" s="1377"/>
      <c r="N219" s="1377"/>
      <c r="O219" s="1377"/>
      <c r="P219" s="1377"/>
      <c r="Q219" s="1377"/>
      <c r="R219" s="1377"/>
      <c r="S219" s="931"/>
      <c r="T219" s="1377"/>
      <c r="U219" s="931"/>
      <c r="V219" s="1377"/>
      <c r="W219" s="1377"/>
      <c r="X219" s="1377"/>
      <c r="Y219" s="1377"/>
      <c r="Z219" s="1377"/>
      <c r="AA219" s="1377"/>
      <c r="AB219" s="1377"/>
    </row>
    <row r="220" spans="1:28">
      <c r="A220" s="762"/>
      <c r="B220" s="762"/>
      <c r="C220" s="762"/>
      <c r="D220" s="762"/>
      <c r="E220" s="762"/>
      <c r="F220" s="762"/>
      <c r="G220" s="762"/>
      <c r="H220" s="762"/>
      <c r="I220" s="762"/>
      <c r="J220" s="762"/>
      <c r="K220" s="762"/>
      <c r="L220" s="1377"/>
      <c r="M220" s="1377"/>
      <c r="N220" s="1377"/>
      <c r="O220" s="1377"/>
      <c r="P220" s="1377"/>
      <c r="Q220" s="1377"/>
      <c r="R220" s="1377"/>
      <c r="S220" s="931"/>
      <c r="T220" s="1377"/>
      <c r="U220" s="931"/>
      <c r="V220" s="1377"/>
      <c r="W220" s="1377"/>
      <c r="X220" s="1377"/>
      <c r="Y220" s="1377"/>
      <c r="Z220" s="1377"/>
      <c r="AA220" s="1377"/>
      <c r="AB220" s="1377"/>
    </row>
    <row r="221" spans="1:28">
      <c r="A221" s="762"/>
      <c r="B221" s="762"/>
      <c r="C221" s="762"/>
      <c r="D221" s="762"/>
      <c r="E221" s="762"/>
      <c r="F221" s="762"/>
      <c r="G221" s="762"/>
      <c r="H221" s="762"/>
      <c r="I221" s="762"/>
      <c r="J221" s="762"/>
      <c r="K221" s="762"/>
      <c r="L221" s="1377"/>
      <c r="M221" s="1377"/>
      <c r="N221" s="1377"/>
      <c r="O221" s="1377"/>
      <c r="P221" s="1377"/>
      <c r="Q221" s="1377"/>
      <c r="R221" s="1377"/>
      <c r="S221" s="931"/>
      <c r="T221" s="1377"/>
      <c r="U221" s="931"/>
      <c r="V221" s="1377"/>
      <c r="W221" s="1377"/>
      <c r="X221" s="1377"/>
      <c r="Y221" s="1377"/>
      <c r="Z221" s="1377"/>
      <c r="AA221" s="1377"/>
      <c r="AB221" s="1377"/>
    </row>
    <row r="222" spans="1:28">
      <c r="A222" s="762"/>
      <c r="B222" s="762"/>
      <c r="C222" s="762"/>
      <c r="D222" s="762"/>
      <c r="E222" s="762"/>
      <c r="F222" s="762"/>
      <c r="G222" s="762"/>
      <c r="H222" s="762"/>
      <c r="I222" s="762"/>
      <c r="J222" s="762"/>
      <c r="K222" s="762"/>
      <c r="L222" s="1377"/>
      <c r="M222" s="1377"/>
      <c r="N222" s="1377"/>
      <c r="O222" s="1377"/>
      <c r="P222" s="1377"/>
      <c r="Q222" s="1377"/>
      <c r="R222" s="1377"/>
      <c r="S222" s="931"/>
      <c r="T222" s="1377"/>
      <c r="U222" s="931"/>
      <c r="V222" s="1377"/>
      <c r="W222" s="1377"/>
      <c r="X222" s="1377"/>
      <c r="Y222" s="1377"/>
      <c r="Z222" s="1377"/>
      <c r="AA222" s="1377"/>
      <c r="AB222" s="1377"/>
    </row>
    <row r="223" spans="1:28">
      <c r="A223" s="762"/>
      <c r="B223" s="762"/>
      <c r="C223" s="762"/>
      <c r="D223" s="762"/>
      <c r="E223" s="762"/>
      <c r="F223" s="762"/>
      <c r="G223" s="762"/>
      <c r="H223" s="762"/>
      <c r="I223" s="762"/>
      <c r="J223" s="762"/>
      <c r="K223" s="762"/>
      <c r="L223" s="1377"/>
      <c r="M223" s="1377"/>
      <c r="N223" s="1377"/>
      <c r="O223" s="1377"/>
      <c r="P223" s="1377"/>
      <c r="Q223" s="1377"/>
      <c r="R223" s="1377"/>
      <c r="S223" s="931"/>
      <c r="T223" s="1377"/>
      <c r="U223" s="931"/>
      <c r="V223" s="1377"/>
      <c r="W223" s="1377"/>
      <c r="X223" s="1377"/>
      <c r="Y223" s="1377"/>
      <c r="Z223" s="1377"/>
      <c r="AA223" s="1377"/>
      <c r="AB223" s="1377"/>
    </row>
    <row r="224" spans="1:28">
      <c r="A224" s="762"/>
      <c r="B224" s="762"/>
      <c r="C224" s="762"/>
      <c r="D224" s="762"/>
      <c r="E224" s="762"/>
      <c r="F224" s="762"/>
      <c r="G224" s="762"/>
      <c r="H224" s="762"/>
      <c r="I224" s="762"/>
      <c r="J224" s="762"/>
      <c r="K224" s="762"/>
      <c r="L224" s="1377"/>
      <c r="M224" s="1377"/>
      <c r="N224" s="1377"/>
      <c r="O224" s="1377"/>
      <c r="P224" s="1377"/>
      <c r="Q224" s="1377"/>
      <c r="R224" s="1377"/>
      <c r="S224" s="931"/>
      <c r="T224" s="1377"/>
      <c r="U224" s="931"/>
      <c r="V224" s="1377"/>
      <c r="W224" s="1377"/>
      <c r="X224" s="1377"/>
      <c r="Y224" s="1377"/>
      <c r="Z224" s="1377"/>
      <c r="AA224" s="1377"/>
      <c r="AB224" s="1377"/>
    </row>
    <row r="225" spans="1:28">
      <c r="A225" s="762"/>
      <c r="B225" s="762"/>
      <c r="C225" s="762"/>
      <c r="D225" s="762"/>
      <c r="E225" s="762"/>
      <c r="F225" s="762"/>
      <c r="G225" s="762"/>
      <c r="H225" s="762"/>
      <c r="I225" s="762"/>
      <c r="J225" s="762"/>
      <c r="K225" s="762"/>
      <c r="L225" s="1377"/>
      <c r="M225" s="1377"/>
      <c r="N225" s="1377"/>
      <c r="O225" s="1377"/>
      <c r="P225" s="1377"/>
      <c r="Q225" s="1377"/>
      <c r="R225" s="1377"/>
      <c r="S225" s="931"/>
      <c r="T225" s="1377"/>
      <c r="U225" s="931"/>
      <c r="V225" s="1377"/>
      <c r="W225" s="1377"/>
      <c r="X225" s="1377"/>
      <c r="Y225" s="1377"/>
      <c r="Z225" s="1377"/>
      <c r="AA225" s="1377"/>
      <c r="AB225" s="1377"/>
    </row>
    <row r="226" spans="1:28">
      <c r="A226" s="762"/>
      <c r="B226" s="762"/>
      <c r="C226" s="762"/>
      <c r="D226" s="762"/>
      <c r="E226" s="762"/>
      <c r="F226" s="762"/>
      <c r="G226" s="762"/>
      <c r="H226" s="762"/>
      <c r="I226" s="762"/>
      <c r="J226" s="762"/>
      <c r="K226" s="762"/>
      <c r="L226" s="1377"/>
      <c r="M226" s="1377"/>
      <c r="N226" s="1377"/>
      <c r="O226" s="1377"/>
      <c r="P226" s="1377"/>
      <c r="Q226" s="1377"/>
      <c r="R226" s="1377"/>
      <c r="S226" s="931"/>
      <c r="T226" s="1377"/>
      <c r="U226" s="931"/>
      <c r="V226" s="1377"/>
      <c r="W226" s="1377"/>
      <c r="X226" s="1377"/>
      <c r="Y226" s="1377"/>
      <c r="Z226" s="1377"/>
      <c r="AA226" s="1377"/>
      <c r="AB226" s="1377"/>
    </row>
    <row r="227" spans="1:28">
      <c r="A227" s="762"/>
      <c r="B227" s="762"/>
      <c r="C227" s="762"/>
      <c r="D227" s="762"/>
      <c r="E227" s="762"/>
      <c r="F227" s="762"/>
      <c r="G227" s="762"/>
      <c r="H227" s="762"/>
      <c r="I227" s="762"/>
      <c r="J227" s="762"/>
      <c r="K227" s="762"/>
      <c r="L227" s="1377"/>
      <c r="M227" s="1377"/>
      <c r="N227" s="1377"/>
      <c r="O227" s="1377"/>
      <c r="P227" s="1377"/>
      <c r="Q227" s="1377"/>
      <c r="R227" s="1377"/>
      <c r="S227" s="931"/>
      <c r="T227" s="1377"/>
      <c r="U227" s="931"/>
      <c r="V227" s="1377"/>
      <c r="W227" s="1377"/>
      <c r="X227" s="1377"/>
      <c r="Y227" s="1377"/>
      <c r="Z227" s="1377"/>
      <c r="AA227" s="1377"/>
      <c r="AB227" s="1377"/>
    </row>
    <row r="228" spans="1:28">
      <c r="A228" s="762"/>
      <c r="B228" s="762"/>
      <c r="C228" s="762"/>
      <c r="D228" s="762"/>
      <c r="E228" s="762"/>
      <c r="F228" s="762"/>
      <c r="G228" s="762"/>
      <c r="H228" s="762"/>
      <c r="I228" s="762"/>
      <c r="J228" s="762"/>
      <c r="K228" s="762"/>
      <c r="L228" s="1377"/>
      <c r="M228" s="1377"/>
      <c r="N228" s="1377"/>
      <c r="O228" s="1377"/>
      <c r="P228" s="1377"/>
      <c r="Q228" s="1377"/>
      <c r="R228" s="1377"/>
      <c r="S228" s="931"/>
      <c r="T228" s="1377"/>
      <c r="U228" s="931"/>
      <c r="V228" s="1377"/>
      <c r="W228" s="1377"/>
      <c r="X228" s="1377"/>
      <c r="Y228" s="1377"/>
      <c r="Z228" s="1377"/>
      <c r="AA228" s="1377"/>
      <c r="AB228" s="1377"/>
    </row>
    <row r="229" spans="1:28" ht="3.75" customHeight="1">
      <c r="A229" s="1379" t="s">
        <v>506</v>
      </c>
      <c r="B229" s="1377"/>
      <c r="C229" s="1377"/>
      <c r="D229" s="1377"/>
      <c r="E229" s="1377"/>
      <c r="F229" s="1377"/>
      <c r="G229" s="1377"/>
      <c r="H229" s="1377"/>
      <c r="I229" s="1377"/>
      <c r="J229" s="1377"/>
      <c r="K229" s="1377"/>
      <c r="L229" s="1377"/>
      <c r="M229" s="1377"/>
      <c r="N229" s="1377"/>
      <c r="O229" s="1377"/>
      <c r="P229" s="1377"/>
      <c r="Q229" s="1377"/>
      <c r="R229" s="1377"/>
      <c r="S229" s="931"/>
      <c r="T229" s="1377"/>
      <c r="U229" s="931"/>
      <c r="V229" s="1377"/>
      <c r="W229" s="1377"/>
      <c r="X229" s="1377"/>
      <c r="Y229" s="1377"/>
      <c r="Z229" s="1377"/>
      <c r="AA229" s="1377"/>
      <c r="AB229" s="1377"/>
    </row>
    <row r="230" spans="1:28">
      <c r="A230" s="765" t="s">
        <v>330</v>
      </c>
      <c r="B230" s="767"/>
      <c r="C230" s="452"/>
      <c r="D230" s="762"/>
      <c r="E230" s="900" t="s">
        <v>334</v>
      </c>
      <c r="F230" s="452"/>
      <c r="G230" s="762"/>
      <c r="H230" s="762"/>
      <c r="I230" s="762"/>
      <c r="J230" s="762"/>
      <c r="K230" s="762"/>
      <c r="L230" s="1377"/>
      <c r="M230" s="1035"/>
      <c r="N230" s="1035"/>
      <c r="O230" s="1035"/>
      <c r="P230" s="1035"/>
      <c r="Q230" s="1035"/>
      <c r="R230" s="1035"/>
      <c r="S230" s="455"/>
      <c r="T230" s="1035"/>
      <c r="U230" s="455"/>
      <c r="V230" s="1035"/>
      <c r="W230" s="1035"/>
      <c r="X230" s="1035"/>
      <c r="Y230" s="1035"/>
      <c r="Z230" s="1035"/>
      <c r="AA230" s="1035"/>
      <c r="AB230" s="1035"/>
    </row>
    <row r="231" spans="1:28">
      <c r="A231" s="762"/>
      <c r="B231" s="762"/>
      <c r="C231" s="762"/>
      <c r="D231" s="762"/>
      <c r="E231" s="762"/>
      <c r="F231" s="762"/>
      <c r="G231" s="762"/>
      <c r="H231" s="762"/>
      <c r="I231" s="762"/>
      <c r="J231" s="762"/>
      <c r="K231" s="762"/>
      <c r="L231" s="1377"/>
      <c r="M231" s="1035"/>
      <c r="N231" s="1035"/>
      <c r="O231" s="1035"/>
      <c r="P231" s="1035"/>
      <c r="Q231" s="1035"/>
      <c r="R231" s="1035"/>
      <c r="S231" s="455"/>
      <c r="T231" s="1035"/>
      <c r="U231" s="455"/>
      <c r="V231" s="1035"/>
      <c r="W231" s="1035"/>
      <c r="X231" s="1035"/>
      <c r="Y231" s="1035"/>
      <c r="Z231" s="1035"/>
      <c r="AA231" s="1035"/>
      <c r="AB231" s="1035"/>
    </row>
    <row r="232" spans="1:28">
      <c r="A232" s="762"/>
      <c r="B232" s="762"/>
      <c r="C232" s="762"/>
      <c r="D232" s="762"/>
      <c r="E232" s="762"/>
      <c r="F232" s="762"/>
      <c r="G232" s="762"/>
      <c r="H232" s="762"/>
      <c r="I232" s="762"/>
      <c r="J232" s="762"/>
      <c r="K232" s="762"/>
      <c r="L232" s="1377"/>
      <c r="M232" s="1035"/>
      <c r="N232" s="1035"/>
      <c r="O232" s="1035"/>
      <c r="P232" s="1035"/>
      <c r="Q232" s="1035"/>
      <c r="R232" s="1035"/>
      <c r="S232" s="455"/>
      <c r="T232" s="1035"/>
      <c r="U232" s="455"/>
      <c r="V232" s="1035"/>
      <c r="W232" s="1035"/>
      <c r="X232" s="1035"/>
      <c r="Y232" s="1035"/>
      <c r="Z232" s="1035"/>
      <c r="AA232" s="1035"/>
      <c r="AB232" s="1035"/>
    </row>
    <row r="233" spans="1:28">
      <c r="A233" s="762"/>
      <c r="B233" s="762"/>
      <c r="C233" s="762"/>
      <c r="D233" s="762"/>
      <c r="E233" s="762"/>
      <c r="F233" s="762"/>
      <c r="G233" s="762"/>
      <c r="H233" s="762"/>
      <c r="I233" s="762"/>
      <c r="J233" s="762"/>
      <c r="K233" s="762"/>
      <c r="M233" s="1035"/>
      <c r="N233" s="1035"/>
      <c r="O233" s="1035"/>
      <c r="P233" s="1035"/>
      <c r="Q233" s="1035"/>
      <c r="R233" s="1035"/>
      <c r="S233" s="455"/>
      <c r="T233" s="1035"/>
      <c r="U233" s="455"/>
      <c r="V233" s="1035"/>
      <c r="W233" s="1035"/>
      <c r="X233" s="1035"/>
      <c r="Y233" s="1035"/>
      <c r="Z233" s="1035"/>
      <c r="AA233" s="1035"/>
      <c r="AB233" s="1035"/>
    </row>
    <row r="234" spans="1:28">
      <c r="A234" s="762"/>
      <c r="B234" s="762"/>
      <c r="C234" s="762"/>
      <c r="D234" s="762"/>
      <c r="E234" s="762"/>
      <c r="F234" s="762"/>
      <c r="G234" s="762"/>
      <c r="H234" s="762"/>
      <c r="I234" s="762"/>
      <c r="J234" s="762"/>
      <c r="K234" s="762"/>
      <c r="M234" s="1035"/>
      <c r="N234" s="1035"/>
      <c r="O234" s="1035"/>
      <c r="P234" s="1035"/>
      <c r="Q234" s="1035"/>
      <c r="R234" s="1035"/>
      <c r="S234" s="455"/>
      <c r="T234" s="1035"/>
      <c r="U234" s="455"/>
      <c r="V234" s="1035"/>
      <c r="W234" s="1035"/>
      <c r="X234" s="1035"/>
      <c r="Y234" s="1035"/>
      <c r="Z234" s="1035"/>
      <c r="AA234" s="1035"/>
      <c r="AB234" s="1035"/>
    </row>
    <row r="235" spans="1:28">
      <c r="A235" s="762"/>
      <c r="B235" s="762"/>
      <c r="C235" s="762"/>
      <c r="D235" s="762"/>
      <c r="E235" s="762"/>
      <c r="F235" s="762"/>
      <c r="G235" s="762"/>
      <c r="H235" s="762"/>
      <c r="I235" s="762"/>
      <c r="J235" s="762"/>
      <c r="K235" s="762"/>
      <c r="L235" s="1377"/>
      <c r="M235" s="1035"/>
      <c r="N235" s="1035"/>
      <c r="O235" s="1035"/>
      <c r="P235" s="1035"/>
      <c r="Q235" s="1035"/>
      <c r="R235" s="1035"/>
      <c r="S235" s="455"/>
      <c r="T235" s="1035"/>
      <c r="U235" s="455"/>
      <c r="V235" s="1035"/>
      <c r="W235" s="1035"/>
      <c r="X235" s="1035"/>
      <c r="Y235" s="1035"/>
      <c r="Z235" s="1035"/>
      <c r="AA235" s="1035"/>
      <c r="AB235" s="1035"/>
    </row>
    <row r="236" spans="1:28">
      <c r="A236" s="762"/>
      <c r="B236" s="762"/>
      <c r="C236" s="762"/>
      <c r="D236" s="762"/>
      <c r="E236" s="762"/>
      <c r="F236" s="762"/>
      <c r="G236" s="762"/>
      <c r="H236" s="762"/>
      <c r="I236" s="762"/>
      <c r="J236" s="762"/>
      <c r="K236" s="762"/>
      <c r="L236" s="1377"/>
      <c r="M236" s="1035"/>
      <c r="N236" s="1035"/>
      <c r="O236" s="1035"/>
      <c r="P236" s="1035"/>
      <c r="Q236" s="1035"/>
      <c r="R236" s="1035"/>
      <c r="S236" s="455"/>
      <c r="T236" s="1035"/>
      <c r="U236" s="455"/>
      <c r="V236" s="1035"/>
      <c r="W236" s="1035"/>
      <c r="X236" s="1035"/>
      <c r="Y236" s="1035"/>
      <c r="Z236" s="1035"/>
      <c r="AA236" s="1035"/>
      <c r="AB236" s="1035"/>
    </row>
    <row r="237" spans="1:28">
      <c r="A237" s="762"/>
      <c r="B237" s="762"/>
      <c r="C237" s="762"/>
      <c r="D237" s="762"/>
      <c r="E237" s="762"/>
      <c r="F237" s="762"/>
      <c r="G237" s="762"/>
      <c r="H237" s="762"/>
      <c r="I237" s="762"/>
      <c r="J237" s="762"/>
      <c r="K237" s="762"/>
      <c r="L237" s="1377"/>
      <c r="M237" s="1035"/>
      <c r="N237" s="1035"/>
      <c r="O237" s="1035"/>
      <c r="P237" s="1035"/>
      <c r="Q237" s="1035"/>
      <c r="R237" s="1035"/>
      <c r="S237" s="455"/>
      <c r="T237" s="1035"/>
      <c r="U237" s="455"/>
      <c r="V237" s="1035"/>
      <c r="W237" s="1035"/>
      <c r="X237" s="1035"/>
      <c r="Y237" s="1035"/>
      <c r="Z237" s="1035"/>
      <c r="AA237" s="1035"/>
      <c r="AB237" s="1035"/>
    </row>
    <row r="238" spans="1:28">
      <c r="A238" s="762"/>
      <c r="B238" s="762"/>
      <c r="C238" s="762"/>
      <c r="D238" s="762"/>
      <c r="E238" s="762"/>
      <c r="F238" s="762"/>
      <c r="G238" s="762"/>
      <c r="H238" s="762"/>
      <c r="I238" s="762"/>
      <c r="J238" s="762"/>
      <c r="K238" s="762"/>
      <c r="L238" s="1377"/>
      <c r="M238" s="1035"/>
      <c r="N238" s="1035"/>
      <c r="O238" s="1035"/>
      <c r="P238" s="1035"/>
      <c r="Q238" s="1035"/>
      <c r="R238" s="1035"/>
      <c r="S238" s="455"/>
      <c r="T238" s="1035"/>
      <c r="U238" s="455"/>
      <c r="V238" s="1035"/>
      <c r="W238" s="1035"/>
      <c r="X238" s="1035"/>
      <c r="Y238" s="1035"/>
      <c r="Z238" s="1035"/>
      <c r="AA238" s="1035"/>
      <c r="AB238" s="1035"/>
    </row>
    <row r="239" spans="1:28">
      <c r="A239" s="762"/>
      <c r="B239" s="762"/>
      <c r="C239" s="762"/>
      <c r="D239" s="762"/>
      <c r="E239" s="762"/>
      <c r="F239" s="762"/>
      <c r="G239" s="762"/>
      <c r="H239" s="762"/>
      <c r="I239" s="762"/>
      <c r="J239" s="762"/>
      <c r="K239" s="762"/>
      <c r="L239" s="1377"/>
      <c r="M239" s="1035"/>
      <c r="N239" s="1035"/>
      <c r="O239" s="1035"/>
      <c r="P239" s="1035"/>
      <c r="Q239" s="1035"/>
      <c r="R239" s="1035"/>
      <c r="S239" s="455"/>
      <c r="T239" s="1035"/>
      <c r="U239" s="455"/>
      <c r="V239" s="1035"/>
      <c r="W239" s="1035"/>
      <c r="X239" s="1035"/>
      <c r="Y239" s="1035"/>
      <c r="Z239" s="1035"/>
      <c r="AA239" s="1035"/>
      <c r="AB239" s="1035"/>
    </row>
    <row r="240" spans="1:28">
      <c r="A240" s="762"/>
      <c r="B240" s="762"/>
      <c r="C240" s="762"/>
      <c r="D240" s="762"/>
      <c r="E240" s="762"/>
      <c r="F240" s="762"/>
      <c r="G240" s="762"/>
      <c r="H240" s="762"/>
      <c r="I240" s="762"/>
      <c r="J240" s="762"/>
      <c r="K240" s="762"/>
      <c r="L240" s="1377"/>
      <c r="M240" s="1035"/>
      <c r="N240" s="1035"/>
      <c r="O240" s="1035"/>
      <c r="P240" s="1035"/>
      <c r="Q240" s="1035"/>
      <c r="R240" s="1035"/>
      <c r="S240" s="455"/>
      <c r="T240" s="1035"/>
      <c r="U240" s="455"/>
      <c r="V240" s="1035"/>
      <c r="W240" s="1035"/>
      <c r="X240" s="1035"/>
      <c r="Y240" s="1035"/>
      <c r="Z240" s="1035"/>
      <c r="AA240" s="1035"/>
      <c r="AB240" s="1035"/>
    </row>
    <row r="241" spans="1:28">
      <c r="A241" s="762"/>
      <c r="B241" s="762"/>
      <c r="C241" s="762"/>
      <c r="D241" s="762"/>
      <c r="E241" s="762"/>
      <c r="F241" s="762"/>
      <c r="G241" s="762"/>
      <c r="H241" s="762"/>
      <c r="I241" s="762"/>
      <c r="J241" s="762"/>
      <c r="K241" s="762"/>
      <c r="L241" s="1377"/>
      <c r="M241" s="1035"/>
      <c r="N241" s="1035"/>
      <c r="O241" s="1035"/>
      <c r="P241" s="1035"/>
      <c r="Q241" s="1035"/>
      <c r="R241" s="1035"/>
      <c r="S241" s="455"/>
      <c r="T241" s="1035"/>
      <c r="U241" s="455"/>
      <c r="V241" s="1035"/>
      <c r="W241" s="1035"/>
      <c r="X241" s="1035"/>
      <c r="Y241" s="1035"/>
      <c r="Z241" s="1035"/>
      <c r="AA241" s="1035"/>
      <c r="AB241" s="1035"/>
    </row>
    <row r="242" spans="1:28">
      <c r="A242" s="762"/>
      <c r="B242" s="762"/>
      <c r="C242" s="762"/>
      <c r="D242" s="762"/>
      <c r="E242" s="762"/>
      <c r="F242" s="762"/>
      <c r="G242" s="762"/>
      <c r="H242" s="762"/>
      <c r="I242" s="762"/>
      <c r="J242" s="762"/>
      <c r="K242" s="762"/>
      <c r="L242" s="1377"/>
      <c r="M242" s="1035"/>
      <c r="N242" s="1035"/>
      <c r="O242" s="1035"/>
      <c r="P242" s="1035"/>
      <c r="Q242" s="1035"/>
      <c r="R242" s="1035"/>
      <c r="S242" s="455"/>
      <c r="T242" s="1035"/>
      <c r="U242" s="455"/>
      <c r="V242" s="1035"/>
      <c r="W242" s="1035"/>
      <c r="X242" s="1035"/>
      <c r="Y242" s="1035"/>
      <c r="Z242" s="1035"/>
      <c r="AA242" s="1035"/>
      <c r="AB242" s="1035"/>
    </row>
    <row r="243" spans="1:28">
      <c r="A243" s="762"/>
      <c r="B243" s="762"/>
      <c r="C243" s="762"/>
      <c r="D243" s="762"/>
      <c r="E243" s="762"/>
      <c r="F243" s="762"/>
      <c r="G243" s="762"/>
      <c r="H243" s="762"/>
      <c r="I243" s="762"/>
      <c r="J243" s="762"/>
      <c r="K243" s="762"/>
      <c r="L243" s="1725"/>
      <c r="M243" s="1739"/>
      <c r="N243" s="1739"/>
      <c r="O243" s="1739"/>
      <c r="P243" s="1739"/>
      <c r="Q243" s="1035"/>
      <c r="R243" s="1035"/>
      <c r="S243" s="455"/>
      <c r="T243" s="1035"/>
      <c r="U243" s="455"/>
      <c r="V243" s="1035"/>
      <c r="W243" s="1035"/>
      <c r="X243" s="1035"/>
      <c r="Y243" s="1035"/>
      <c r="Z243" s="1035"/>
      <c r="AA243" s="1035"/>
      <c r="AB243" s="1035"/>
    </row>
    <row r="244" spans="1:28">
      <c r="A244" s="762"/>
      <c r="B244" s="762"/>
      <c r="C244" s="762"/>
      <c r="D244" s="762"/>
      <c r="E244" s="762"/>
      <c r="F244" s="762"/>
      <c r="G244" s="762"/>
      <c r="H244" s="762"/>
      <c r="I244" s="762"/>
      <c r="J244" s="762"/>
      <c r="K244" s="455"/>
      <c r="L244" s="1725"/>
      <c r="M244" s="1739"/>
      <c r="N244" s="1739"/>
      <c r="O244" s="1739"/>
      <c r="P244" s="1739"/>
      <c r="Q244" s="1035"/>
      <c r="R244" s="1035"/>
      <c r="S244" s="455"/>
      <c r="T244" s="1035"/>
      <c r="U244" s="455"/>
      <c r="V244" s="1035"/>
      <c r="W244" s="1035"/>
      <c r="X244" s="1035"/>
      <c r="Y244" s="1035"/>
      <c r="Z244" s="1035"/>
      <c r="AA244" s="1035"/>
      <c r="AB244" s="1035"/>
    </row>
    <row r="245" spans="1:28">
      <c r="A245" s="762"/>
      <c r="B245" s="762"/>
      <c r="C245" s="762"/>
      <c r="D245" s="762"/>
      <c r="E245" s="762"/>
      <c r="F245" s="762"/>
      <c r="G245" s="762"/>
      <c r="H245" s="762"/>
      <c r="I245" s="762"/>
      <c r="J245" s="762"/>
      <c r="K245" s="455"/>
      <c r="L245" s="1725"/>
      <c r="M245" s="1739"/>
      <c r="N245" s="1739"/>
      <c r="O245" s="1739"/>
      <c r="P245" s="1739"/>
      <c r="Q245" s="1035"/>
      <c r="R245" s="1035"/>
      <c r="S245" s="455"/>
      <c r="T245" s="1035"/>
      <c r="U245" s="455"/>
      <c r="V245" s="1035"/>
      <c r="W245" s="1035"/>
      <c r="X245" s="1035"/>
      <c r="Y245" s="1035"/>
      <c r="Z245" s="1035"/>
      <c r="AA245" s="1035"/>
      <c r="AB245" s="1035"/>
    </row>
    <row r="246" spans="1:28">
      <c r="A246" s="762"/>
      <c r="B246" s="762"/>
      <c r="C246" s="762"/>
      <c r="D246" s="762"/>
      <c r="E246" s="762"/>
      <c r="F246" s="762"/>
      <c r="G246" s="762"/>
      <c r="H246" s="762"/>
      <c r="I246" s="762"/>
      <c r="J246" s="762"/>
      <c r="K246" s="455"/>
      <c r="L246" s="1725"/>
      <c r="M246" s="1739"/>
      <c r="N246" s="1739"/>
      <c r="O246" s="1739"/>
      <c r="P246" s="1739"/>
      <c r="Q246" s="1035"/>
      <c r="R246" s="1035"/>
      <c r="S246" s="455"/>
      <c r="T246" s="1035"/>
      <c r="U246" s="455"/>
      <c r="V246" s="1035"/>
      <c r="W246" s="1035"/>
      <c r="X246" s="1035"/>
      <c r="Y246" s="1035"/>
      <c r="Z246" s="1035"/>
      <c r="AA246" s="1035"/>
      <c r="AB246" s="1035"/>
    </row>
    <row r="247" spans="1:28">
      <c r="A247" s="762"/>
      <c r="B247" s="762"/>
      <c r="C247" s="762"/>
      <c r="D247" s="762"/>
      <c r="E247" s="762"/>
      <c r="F247" s="762"/>
      <c r="G247" s="762"/>
      <c r="H247" s="762"/>
      <c r="I247" s="762"/>
      <c r="J247" s="762"/>
      <c r="K247" s="1035"/>
      <c r="L247" s="1377"/>
      <c r="M247" s="1035"/>
      <c r="N247" s="1035"/>
      <c r="O247" s="1035"/>
      <c r="P247" s="1035"/>
      <c r="Q247" s="1035"/>
      <c r="R247" s="1035"/>
      <c r="S247" s="455"/>
      <c r="T247" s="1035"/>
      <c r="U247" s="455"/>
      <c r="V247" s="1035"/>
      <c r="W247" s="1035"/>
      <c r="X247" s="1035"/>
      <c r="Y247" s="1035"/>
      <c r="Z247" s="1035"/>
      <c r="AA247" s="1035"/>
      <c r="AB247" s="1035"/>
    </row>
    <row r="248" spans="1:28">
      <c r="A248" s="762"/>
      <c r="B248" s="762"/>
      <c r="C248" s="762"/>
      <c r="D248" s="762"/>
      <c r="E248" s="762"/>
      <c r="F248" s="762"/>
      <c r="G248" s="762"/>
      <c r="H248" s="762"/>
      <c r="I248" s="762"/>
      <c r="J248" s="762"/>
      <c r="K248" s="762"/>
      <c r="L248" s="1377"/>
      <c r="M248" s="1035"/>
      <c r="N248" s="1035"/>
      <c r="O248" s="1035"/>
      <c r="P248" s="1035"/>
      <c r="Q248" s="1035"/>
      <c r="R248" s="1035"/>
      <c r="S248" s="455"/>
      <c r="T248" s="1035"/>
      <c r="U248" s="455"/>
      <c r="V248" s="1035"/>
      <c r="W248" s="1035"/>
      <c r="X248" s="1035"/>
      <c r="Y248" s="1035"/>
      <c r="Z248" s="1035"/>
      <c r="AA248" s="1035"/>
      <c r="AB248" s="1035"/>
    </row>
    <row r="249" spans="1:28">
      <c r="A249" s="762"/>
      <c r="B249" s="762"/>
      <c r="C249" s="762"/>
      <c r="D249" s="762"/>
      <c r="E249" s="762"/>
      <c r="F249" s="762"/>
      <c r="G249" s="762"/>
      <c r="H249" s="762"/>
      <c r="I249" s="762"/>
      <c r="J249" s="762"/>
      <c r="K249" s="762"/>
      <c r="L249" s="1377"/>
      <c r="M249" s="1035"/>
      <c r="N249" s="1035"/>
      <c r="O249" s="1035"/>
      <c r="P249" s="1035"/>
      <c r="Q249" s="1035"/>
      <c r="R249" s="1035"/>
      <c r="S249" s="455"/>
      <c r="T249" s="1035"/>
      <c r="U249" s="455"/>
      <c r="V249" s="1035"/>
      <c r="W249" s="1035"/>
      <c r="X249" s="1035"/>
      <c r="Y249" s="1035"/>
      <c r="Z249" s="1035"/>
      <c r="AA249" s="1035"/>
      <c r="AB249" s="1035"/>
    </row>
    <row r="250" spans="1:28">
      <c r="A250" s="762"/>
      <c r="B250" s="762"/>
      <c r="C250" s="762"/>
      <c r="D250" s="762"/>
      <c r="E250" s="762"/>
      <c r="F250" s="762"/>
      <c r="G250" s="762"/>
      <c r="H250" s="762"/>
      <c r="I250" s="762"/>
      <c r="J250" s="762"/>
      <c r="K250" s="762"/>
      <c r="L250" s="1377"/>
      <c r="M250" s="1035"/>
      <c r="N250" s="1035"/>
      <c r="O250" s="1035"/>
      <c r="P250" s="1035"/>
      <c r="Q250" s="1035"/>
      <c r="R250" s="1035"/>
      <c r="S250" s="455"/>
      <c r="T250" s="1035"/>
      <c r="U250" s="455"/>
      <c r="V250" s="1035"/>
      <c r="W250" s="1035"/>
      <c r="X250" s="1035"/>
      <c r="Y250" s="1035"/>
      <c r="Z250" s="1035"/>
      <c r="AA250" s="1035"/>
      <c r="AB250" s="1035"/>
    </row>
    <row r="251" spans="1:28">
      <c r="A251" s="762"/>
      <c r="B251" s="762"/>
      <c r="C251" s="762"/>
      <c r="D251" s="762"/>
      <c r="E251" s="762"/>
      <c r="F251" s="762"/>
      <c r="G251" s="762"/>
      <c r="H251" s="762"/>
      <c r="I251" s="762"/>
      <c r="J251" s="762"/>
      <c r="K251" s="762"/>
      <c r="L251" s="1377"/>
      <c r="M251" s="1035"/>
      <c r="N251" s="1035"/>
      <c r="O251" s="1035"/>
      <c r="P251" s="1035"/>
      <c r="Q251" s="1035"/>
      <c r="R251" s="1035"/>
      <c r="S251" s="455"/>
      <c r="T251" s="1035"/>
      <c r="U251" s="455"/>
      <c r="V251" s="1035"/>
      <c r="W251" s="1035"/>
      <c r="X251" s="1035"/>
      <c r="Y251" s="1035"/>
      <c r="Z251" s="1035"/>
      <c r="AA251" s="1035"/>
      <c r="AB251" s="1035"/>
    </row>
    <row r="252" spans="1:28">
      <c r="A252" s="762"/>
      <c r="B252" s="762"/>
      <c r="C252" s="762"/>
      <c r="D252" s="762"/>
      <c r="E252" s="762"/>
      <c r="F252" s="762"/>
      <c r="G252" s="762"/>
      <c r="H252" s="762"/>
      <c r="I252" s="762"/>
      <c r="J252" s="762"/>
      <c r="K252" s="762"/>
      <c r="L252" s="1377"/>
      <c r="M252" s="1035"/>
      <c r="N252" s="1035"/>
      <c r="O252" s="1035"/>
      <c r="P252" s="1035"/>
      <c r="Q252" s="1035"/>
      <c r="R252" s="1035"/>
      <c r="S252" s="455"/>
      <c r="T252" s="1035"/>
      <c r="U252" s="455"/>
      <c r="V252" s="1035"/>
      <c r="W252" s="1035"/>
      <c r="X252" s="1035"/>
      <c r="Y252" s="1035"/>
      <c r="Z252" s="1035"/>
      <c r="AA252" s="1035"/>
      <c r="AB252" s="1035"/>
    </row>
    <row r="253" spans="1:28">
      <c r="A253" s="762"/>
      <c r="B253" s="762"/>
      <c r="C253" s="762"/>
      <c r="D253" s="762"/>
      <c r="E253" s="762"/>
      <c r="F253" s="762"/>
      <c r="G253" s="762"/>
      <c r="H253" s="762"/>
      <c r="I253" s="762"/>
      <c r="J253" s="762"/>
      <c r="K253" s="762"/>
      <c r="L253" s="1377"/>
      <c r="M253" s="1035"/>
      <c r="N253" s="1035"/>
      <c r="O253" s="1035"/>
      <c r="P253" s="1035"/>
      <c r="Q253" s="1035"/>
      <c r="R253" s="1035"/>
      <c r="S253" s="455"/>
      <c r="T253" s="1035"/>
      <c r="U253" s="455"/>
      <c r="V253" s="1035"/>
      <c r="W253" s="1035"/>
      <c r="X253" s="1035"/>
      <c r="Y253" s="1035"/>
      <c r="Z253" s="1035"/>
      <c r="AA253" s="1035"/>
      <c r="AB253" s="1035"/>
    </row>
    <row r="254" spans="1:28">
      <c r="A254" s="762"/>
      <c r="B254" s="762"/>
      <c r="C254" s="762"/>
      <c r="D254" s="762"/>
      <c r="E254" s="762"/>
      <c r="F254" s="762"/>
      <c r="G254" s="762"/>
      <c r="H254" s="762"/>
      <c r="I254" s="762"/>
      <c r="J254" s="762"/>
      <c r="K254" s="762"/>
      <c r="L254" s="1377"/>
      <c r="M254" s="1035"/>
      <c r="N254" s="1035"/>
      <c r="O254" s="1035"/>
      <c r="P254" s="1035"/>
      <c r="Q254" s="1035"/>
      <c r="R254" s="1035"/>
      <c r="S254" s="455"/>
      <c r="T254" s="1035"/>
      <c r="U254" s="455"/>
      <c r="V254" s="1035"/>
      <c r="W254" s="1035"/>
      <c r="X254" s="1035"/>
      <c r="Y254" s="1035"/>
      <c r="Z254" s="1035"/>
      <c r="AA254" s="1035"/>
      <c r="AB254" s="1035"/>
    </row>
    <row r="255" spans="1:28">
      <c r="A255" s="762"/>
      <c r="B255" s="762"/>
      <c r="C255" s="762"/>
      <c r="D255" s="762"/>
      <c r="E255" s="762"/>
      <c r="F255" s="762"/>
      <c r="G255" s="762"/>
      <c r="H255" s="762"/>
      <c r="I255" s="762"/>
      <c r="J255" s="762"/>
      <c r="K255" s="762"/>
      <c r="L255" s="1377"/>
      <c r="M255" s="1035"/>
      <c r="N255" s="1035"/>
      <c r="O255" s="1035"/>
      <c r="P255" s="1035"/>
      <c r="Q255" s="1035"/>
      <c r="R255" s="1035"/>
      <c r="S255" s="455"/>
      <c r="T255" s="1035"/>
      <c r="U255" s="455"/>
      <c r="V255" s="1035"/>
      <c r="W255" s="1035"/>
      <c r="X255" s="1035"/>
      <c r="Y255" s="1035"/>
      <c r="Z255" s="1035"/>
      <c r="AA255" s="1035"/>
      <c r="AB255" s="1035"/>
    </row>
    <row r="256" spans="1:28">
      <c r="A256" s="762"/>
      <c r="B256" s="762"/>
      <c r="C256" s="762"/>
      <c r="D256" s="762"/>
      <c r="E256" s="762"/>
      <c r="F256" s="762"/>
      <c r="G256" s="762"/>
      <c r="H256" s="762"/>
      <c r="I256" s="762"/>
      <c r="J256" s="762"/>
      <c r="K256" s="762"/>
      <c r="L256" s="1377"/>
      <c r="M256" s="1035"/>
      <c r="N256" s="1035"/>
      <c r="O256" s="1035"/>
      <c r="P256" s="1035"/>
      <c r="Q256" s="1035"/>
      <c r="R256" s="1035"/>
      <c r="S256" s="455"/>
      <c r="T256" s="1035"/>
      <c r="U256" s="455"/>
      <c r="V256" s="1035"/>
      <c r="W256" s="1035"/>
      <c r="X256" s="1035"/>
      <c r="Y256" s="1035"/>
      <c r="Z256" s="1035"/>
      <c r="AA256" s="1035"/>
      <c r="AB256" s="1035"/>
    </row>
    <row r="257" spans="1:28">
      <c r="A257" s="762"/>
      <c r="B257" s="762"/>
      <c r="C257" s="762"/>
      <c r="D257" s="762"/>
      <c r="E257" s="762"/>
      <c r="F257" s="762"/>
      <c r="G257" s="762"/>
      <c r="H257" s="762"/>
      <c r="I257" s="762"/>
      <c r="J257" s="762"/>
      <c r="K257" s="762"/>
      <c r="L257" s="1377"/>
      <c r="M257" s="1035"/>
      <c r="N257" s="1035"/>
      <c r="O257" s="1035"/>
      <c r="P257" s="1035"/>
      <c r="Q257" s="1035"/>
      <c r="R257" s="1035"/>
      <c r="S257" s="455"/>
      <c r="T257" s="1035"/>
      <c r="U257" s="455"/>
      <c r="V257" s="1035"/>
      <c r="W257" s="1035"/>
      <c r="X257" s="1035"/>
      <c r="Y257" s="1035"/>
      <c r="Z257" s="1035"/>
      <c r="AA257" s="1035"/>
      <c r="AB257" s="1035"/>
    </row>
    <row r="258" spans="1:28">
      <c r="A258" s="762"/>
      <c r="B258" s="762"/>
      <c r="C258" s="762"/>
      <c r="D258" s="762"/>
      <c r="E258" s="762"/>
      <c r="F258" s="762"/>
      <c r="G258" s="762"/>
      <c r="H258" s="762"/>
      <c r="I258" s="762"/>
      <c r="J258" s="762"/>
      <c r="K258" s="762"/>
      <c r="L258" s="1377"/>
      <c r="M258" s="1035"/>
      <c r="N258" s="1035"/>
      <c r="O258" s="1035"/>
      <c r="P258" s="1035"/>
      <c r="Q258" s="1035"/>
      <c r="R258" s="1035"/>
      <c r="S258" s="455"/>
      <c r="T258" s="1035"/>
      <c r="U258" s="455"/>
      <c r="V258" s="1035"/>
      <c r="W258" s="1035"/>
      <c r="X258" s="1035"/>
      <c r="Y258" s="1035"/>
      <c r="Z258" s="1035"/>
      <c r="AA258" s="1035"/>
      <c r="AB258" s="1035"/>
    </row>
    <row r="259" spans="1:28">
      <c r="A259" s="762"/>
      <c r="B259" s="762"/>
      <c r="C259" s="762"/>
      <c r="D259" s="762"/>
      <c r="E259" s="762"/>
      <c r="F259" s="762"/>
      <c r="G259" s="762"/>
      <c r="H259" s="762"/>
      <c r="I259" s="762"/>
      <c r="J259" s="762"/>
      <c r="K259" s="762"/>
      <c r="L259" s="1377"/>
      <c r="M259" s="1035"/>
      <c r="N259" s="1035"/>
      <c r="O259" s="1035"/>
      <c r="P259" s="1035"/>
      <c r="Q259" s="1035"/>
      <c r="R259" s="1035"/>
      <c r="S259" s="455"/>
      <c r="T259" s="1035"/>
      <c r="U259" s="455"/>
      <c r="V259" s="1035"/>
      <c r="W259" s="1035"/>
      <c r="X259" s="1035"/>
      <c r="Y259" s="1035"/>
      <c r="Z259" s="1035"/>
      <c r="AA259" s="1035"/>
      <c r="AB259" s="1035"/>
    </row>
    <row r="260" spans="1:28" ht="3.75" customHeight="1">
      <c r="A260" s="1379" t="s">
        <v>506</v>
      </c>
      <c r="B260" s="1377"/>
      <c r="C260" s="1377"/>
      <c r="D260" s="1377"/>
      <c r="E260" s="1377"/>
      <c r="F260" s="1377"/>
      <c r="G260" s="1377"/>
      <c r="H260" s="1377"/>
      <c r="I260" s="1377"/>
      <c r="J260" s="1377"/>
      <c r="K260" s="1377"/>
      <c r="L260" s="1377"/>
      <c r="M260" s="1377"/>
      <c r="N260" s="1377"/>
      <c r="O260" s="1377"/>
      <c r="P260" s="1377"/>
      <c r="Q260" s="1377"/>
      <c r="R260" s="1377"/>
      <c r="S260" s="931"/>
      <c r="T260" s="1377"/>
      <c r="U260" s="931"/>
      <c r="V260" s="1377"/>
      <c r="W260" s="1377"/>
      <c r="X260" s="1377"/>
      <c r="Y260" s="1377"/>
      <c r="Z260" s="1377"/>
      <c r="AA260" s="1377"/>
      <c r="AB260" s="1377"/>
    </row>
    <row r="261" spans="1:28">
      <c r="A261" s="765" t="s">
        <v>394</v>
      </c>
      <c r="B261" s="767"/>
      <c r="C261" s="455"/>
      <c r="D261" s="461" t="s">
        <v>348</v>
      </c>
      <c r="E261" s="762"/>
      <c r="F261" s="762"/>
      <c r="G261" s="762"/>
      <c r="H261" s="762"/>
      <c r="I261" s="762"/>
      <c r="J261" s="762"/>
      <c r="K261" s="762"/>
      <c r="L261" s="1377"/>
      <c r="M261" s="1035"/>
      <c r="N261" s="1035"/>
      <c r="O261" s="1035"/>
      <c r="P261" s="1035"/>
      <c r="Q261" s="1035"/>
      <c r="R261" s="1035"/>
      <c r="S261" s="455"/>
      <c r="T261" s="1035"/>
      <c r="U261" s="455"/>
      <c r="V261" s="1035"/>
      <c r="W261" s="1035"/>
      <c r="X261" s="1035"/>
      <c r="Y261" s="1035"/>
      <c r="Z261" s="1035"/>
      <c r="AA261" s="1035"/>
      <c r="AB261" s="1035"/>
    </row>
    <row r="262" spans="1:28">
      <c r="A262" s="762"/>
      <c r="B262" s="762"/>
      <c r="C262" s="762"/>
      <c r="D262" s="762"/>
      <c r="E262" s="762"/>
      <c r="F262" s="762"/>
      <c r="G262" s="762"/>
      <c r="H262" s="762"/>
      <c r="I262" s="762"/>
      <c r="J262" s="762"/>
      <c r="K262" s="762"/>
      <c r="L262" s="1377"/>
      <c r="M262" s="1035"/>
      <c r="N262" s="1035"/>
      <c r="O262" s="1035"/>
      <c r="P262" s="1035"/>
      <c r="Q262" s="1035"/>
      <c r="R262" s="1035"/>
      <c r="S262" s="455"/>
      <c r="T262" s="1035"/>
      <c r="U262" s="455"/>
      <c r="V262" s="1035"/>
      <c r="W262" s="1035"/>
      <c r="X262" s="1035"/>
      <c r="Y262" s="1035"/>
      <c r="Z262" s="1035"/>
      <c r="AA262" s="1035"/>
      <c r="AB262" s="1035"/>
    </row>
    <row r="263" spans="1:28">
      <c r="A263" s="762"/>
      <c r="B263" s="762"/>
      <c r="C263" s="762"/>
      <c r="D263" s="762"/>
      <c r="E263" s="762"/>
      <c r="F263" s="762"/>
      <c r="G263" s="762"/>
      <c r="H263" s="762"/>
      <c r="I263" s="762"/>
      <c r="J263" s="762"/>
      <c r="K263" s="762"/>
      <c r="L263" s="1377"/>
      <c r="M263" s="1035"/>
      <c r="N263" s="1035"/>
      <c r="O263" s="1035"/>
      <c r="P263" s="1035"/>
      <c r="Q263" s="1035"/>
      <c r="R263" s="1035"/>
      <c r="S263" s="455"/>
      <c r="T263" s="1035"/>
      <c r="U263" s="455"/>
      <c r="V263" s="1035"/>
      <c r="W263" s="1035"/>
      <c r="X263" s="1035"/>
      <c r="Y263" s="1035"/>
      <c r="Z263" s="1035"/>
      <c r="AA263" s="1035"/>
      <c r="AB263" s="1035"/>
    </row>
    <row r="264" spans="1:28">
      <c r="A264" s="762"/>
      <c r="B264" s="762"/>
      <c r="C264" s="762"/>
      <c r="D264" s="762"/>
      <c r="E264" s="762"/>
      <c r="F264" s="762"/>
      <c r="G264" s="762"/>
      <c r="H264" s="762"/>
      <c r="I264" s="762"/>
      <c r="J264" s="762"/>
      <c r="K264" s="452"/>
      <c r="M264" s="455"/>
      <c r="N264" s="455"/>
      <c r="O264" s="1035"/>
      <c r="P264" s="1035"/>
      <c r="Q264" s="1035"/>
      <c r="R264" s="1035"/>
      <c r="S264" s="455"/>
      <c r="T264" s="1035"/>
      <c r="U264" s="455"/>
      <c r="V264" s="1035"/>
      <c r="W264" s="1035"/>
      <c r="X264" s="1035"/>
      <c r="Y264" s="1035"/>
      <c r="Z264" s="1035"/>
      <c r="AA264" s="1035"/>
      <c r="AB264" s="1035"/>
    </row>
    <row r="265" spans="1:28">
      <c r="A265" s="762"/>
      <c r="B265" s="762"/>
      <c r="C265" s="762"/>
      <c r="D265" s="762"/>
      <c r="E265" s="762"/>
      <c r="F265" s="762"/>
      <c r="G265" s="762"/>
      <c r="H265" s="762"/>
      <c r="I265" s="762"/>
      <c r="J265" s="762"/>
      <c r="K265" s="452"/>
      <c r="M265" s="455"/>
      <c r="N265" s="455"/>
      <c r="O265" s="1035"/>
      <c r="P265" s="1035"/>
      <c r="Q265" s="1035"/>
      <c r="R265" s="1035"/>
      <c r="S265" s="455"/>
      <c r="T265" s="1035"/>
      <c r="U265" s="455"/>
      <c r="V265" s="1035"/>
      <c r="W265" s="1035"/>
      <c r="X265" s="1035"/>
      <c r="Y265" s="1035"/>
      <c r="Z265" s="1035"/>
      <c r="AA265" s="1035"/>
      <c r="AB265" s="1035"/>
    </row>
    <row r="266" spans="1:28">
      <c r="A266" s="762"/>
      <c r="B266" s="762"/>
      <c r="C266" s="762"/>
      <c r="D266" s="762"/>
      <c r="E266" s="762"/>
      <c r="F266" s="762"/>
      <c r="G266" s="762"/>
      <c r="H266" s="762"/>
      <c r="I266" s="762"/>
      <c r="J266" s="762"/>
      <c r="K266" s="762"/>
      <c r="L266" s="1377"/>
      <c r="M266" s="1035"/>
      <c r="N266" s="1035"/>
      <c r="O266" s="1035"/>
      <c r="P266" s="1035"/>
      <c r="Q266" s="1035"/>
      <c r="R266" s="1035"/>
      <c r="S266" s="455"/>
      <c r="T266" s="1035"/>
      <c r="U266" s="455"/>
      <c r="V266" s="1035"/>
      <c r="W266" s="1035"/>
      <c r="X266" s="1035"/>
      <c r="Y266" s="1035"/>
      <c r="Z266" s="1035"/>
      <c r="AA266" s="1035"/>
      <c r="AB266" s="1035"/>
    </row>
    <row r="267" spans="1:28">
      <c r="A267" s="762"/>
      <c r="B267" s="762"/>
      <c r="C267" s="762"/>
      <c r="D267" s="762"/>
      <c r="E267" s="762"/>
      <c r="F267" s="762"/>
      <c r="G267" s="762"/>
      <c r="H267" s="762"/>
      <c r="I267" s="762"/>
      <c r="J267" s="762"/>
      <c r="K267" s="762"/>
      <c r="L267" s="1377"/>
      <c r="M267" s="1035"/>
      <c r="N267" s="1035"/>
      <c r="O267" s="1035"/>
      <c r="P267" s="1035"/>
      <c r="Q267" s="1035"/>
      <c r="R267" s="1035"/>
      <c r="S267" s="455"/>
      <c r="T267" s="1035"/>
      <c r="U267" s="455"/>
      <c r="V267" s="1035"/>
      <c r="W267" s="1035"/>
      <c r="X267" s="1035"/>
      <c r="Y267" s="1035"/>
      <c r="Z267" s="1035"/>
      <c r="AA267" s="1035"/>
      <c r="AB267" s="1035"/>
    </row>
    <row r="268" spans="1:28">
      <c r="A268" s="762"/>
      <c r="B268" s="762"/>
      <c r="C268" s="762"/>
      <c r="D268" s="762"/>
      <c r="E268" s="762"/>
      <c r="F268" s="762"/>
      <c r="G268" s="762"/>
      <c r="H268" s="762"/>
      <c r="I268" s="762"/>
      <c r="J268" s="762"/>
      <c r="K268" s="762"/>
      <c r="L268" s="1377"/>
      <c r="M268" s="1035"/>
      <c r="N268" s="1035"/>
      <c r="O268" s="1035"/>
      <c r="P268" s="1035"/>
      <c r="Q268" s="1035"/>
      <c r="R268" s="1035"/>
      <c r="S268" s="455"/>
      <c r="T268" s="1035"/>
      <c r="U268" s="455"/>
      <c r="V268" s="1035"/>
      <c r="W268" s="1035"/>
      <c r="X268" s="1035"/>
      <c r="Y268" s="1035"/>
      <c r="Z268" s="1035"/>
      <c r="AA268" s="1035"/>
      <c r="AB268" s="1035"/>
    </row>
    <row r="269" spans="1:28">
      <c r="A269" s="762"/>
      <c r="B269" s="762"/>
      <c r="C269" s="762"/>
      <c r="D269" s="762"/>
      <c r="E269" s="762"/>
      <c r="F269" s="762"/>
      <c r="G269" s="762"/>
      <c r="H269" s="762"/>
      <c r="I269" s="762"/>
      <c r="J269" s="762"/>
      <c r="K269" s="452"/>
      <c r="L269" s="1386"/>
      <c r="M269" s="1770"/>
      <c r="N269" s="455"/>
      <c r="O269" s="1035"/>
      <c r="P269" s="1035"/>
      <c r="Q269" s="1035"/>
      <c r="R269" s="1035"/>
      <c r="S269" s="455"/>
      <c r="T269" s="1035"/>
      <c r="U269" s="455"/>
      <c r="V269" s="1035"/>
      <c r="W269" s="1035"/>
      <c r="X269" s="1035"/>
      <c r="Y269" s="1035"/>
      <c r="Z269" s="1035"/>
      <c r="AA269" s="1035"/>
      <c r="AB269" s="1035"/>
    </row>
    <row r="270" spans="1:28">
      <c r="A270" s="762"/>
      <c r="B270" s="762"/>
      <c r="C270" s="762"/>
      <c r="D270" s="762"/>
      <c r="E270" s="762"/>
      <c r="F270" s="762"/>
      <c r="G270" s="762"/>
      <c r="H270" s="762"/>
      <c r="I270" s="762"/>
      <c r="J270" s="762"/>
      <c r="K270" s="452"/>
      <c r="L270" s="1364"/>
      <c r="M270" s="1770"/>
      <c r="N270" s="459"/>
      <c r="O270" s="1035"/>
      <c r="P270" s="1035"/>
      <c r="Q270" s="1035"/>
      <c r="R270" s="1035"/>
      <c r="S270" s="455"/>
      <c r="T270" s="1035"/>
      <c r="U270" s="455"/>
      <c r="V270" s="1035"/>
      <c r="W270" s="1035"/>
      <c r="X270" s="1035"/>
      <c r="Y270" s="1035"/>
      <c r="Z270" s="1035"/>
      <c r="AA270" s="1035"/>
      <c r="AB270" s="1035"/>
    </row>
    <row r="271" spans="1:28">
      <c r="A271" s="762"/>
      <c r="B271" s="762"/>
      <c r="C271" s="762"/>
      <c r="D271" s="762"/>
      <c r="E271" s="762"/>
      <c r="F271" s="762"/>
      <c r="G271" s="762"/>
      <c r="H271" s="762"/>
      <c r="I271" s="762"/>
      <c r="J271" s="762"/>
      <c r="K271" s="762"/>
      <c r="L271" s="1387"/>
      <c r="M271" s="1035"/>
      <c r="N271" s="1035"/>
      <c r="O271" s="1035"/>
      <c r="P271" s="1035"/>
      <c r="Q271" s="1035"/>
      <c r="R271" s="1035"/>
      <c r="S271" s="455"/>
      <c r="T271" s="1035"/>
      <c r="U271" s="455"/>
      <c r="V271" s="1035"/>
      <c r="W271" s="1035"/>
      <c r="X271" s="1035"/>
      <c r="Y271" s="1035"/>
      <c r="Z271" s="1035"/>
      <c r="AA271" s="1035"/>
      <c r="AB271" s="1035"/>
    </row>
    <row r="272" spans="1:28">
      <c r="A272" s="762"/>
      <c r="B272" s="762"/>
      <c r="C272" s="762"/>
      <c r="D272" s="762"/>
      <c r="E272" s="762"/>
      <c r="F272" s="762"/>
      <c r="G272" s="762"/>
      <c r="H272" s="762"/>
      <c r="I272" s="762"/>
      <c r="J272" s="762"/>
      <c r="K272" s="455"/>
      <c r="M272" s="1035"/>
      <c r="N272" s="1035"/>
      <c r="O272" s="1035"/>
      <c r="P272" s="1035"/>
      <c r="Q272" s="1035"/>
      <c r="R272" s="1035"/>
      <c r="S272" s="455"/>
      <c r="T272" s="1035"/>
      <c r="U272" s="455"/>
      <c r="V272" s="1035"/>
      <c r="W272" s="1035"/>
      <c r="X272" s="1035"/>
      <c r="Y272" s="1035"/>
      <c r="Z272" s="1035"/>
      <c r="AA272" s="1035"/>
      <c r="AB272" s="1035"/>
    </row>
    <row r="273" spans="1:28">
      <c r="A273" s="452"/>
      <c r="B273" s="452"/>
      <c r="C273" s="452"/>
      <c r="D273" s="452"/>
      <c r="E273" s="452"/>
      <c r="F273" s="452"/>
      <c r="G273" s="452"/>
      <c r="H273" s="452"/>
      <c r="I273" s="452"/>
      <c r="J273" s="452"/>
      <c r="K273" s="455"/>
      <c r="L273" s="1386"/>
      <c r="M273" s="1035"/>
      <c r="N273" s="1035"/>
      <c r="O273" s="1035"/>
      <c r="P273" s="1035"/>
      <c r="Q273" s="1035"/>
      <c r="R273" s="1035"/>
      <c r="S273" s="455"/>
      <c r="T273" s="1035"/>
      <c r="U273" s="455"/>
      <c r="V273" s="1035"/>
      <c r="W273" s="1035"/>
      <c r="X273" s="1035"/>
      <c r="Y273" s="1035"/>
      <c r="Z273" s="1035"/>
      <c r="AA273" s="1035"/>
      <c r="AB273" s="1035"/>
    </row>
    <row r="274" spans="1:28">
      <c r="A274" s="452"/>
      <c r="B274" s="452"/>
      <c r="C274" s="452"/>
      <c r="D274" s="452"/>
      <c r="E274" s="452"/>
      <c r="F274" s="452"/>
      <c r="G274" s="452"/>
      <c r="H274" s="452"/>
      <c r="I274" s="452"/>
      <c r="J274" s="452"/>
      <c r="K274" s="452"/>
      <c r="L274" s="1377"/>
      <c r="M274" s="1035"/>
      <c r="N274" s="1035"/>
      <c r="O274" s="1035"/>
      <c r="P274" s="1035"/>
      <c r="Q274" s="1035"/>
      <c r="R274" s="1035"/>
      <c r="S274" s="455"/>
      <c r="T274" s="1035"/>
      <c r="U274" s="455"/>
      <c r="V274" s="1035"/>
      <c r="W274" s="1035"/>
      <c r="X274" s="1035"/>
      <c r="Y274" s="1035"/>
      <c r="Z274" s="1035"/>
      <c r="AA274" s="1035"/>
      <c r="AB274" s="1035"/>
    </row>
    <row r="275" spans="1:28">
      <c r="A275" s="452"/>
      <c r="B275" s="452"/>
      <c r="C275" s="452"/>
      <c r="D275" s="452"/>
      <c r="E275" s="452"/>
      <c r="F275" s="452"/>
      <c r="G275" s="452"/>
      <c r="H275" s="452"/>
      <c r="I275" s="452"/>
      <c r="J275" s="452"/>
      <c r="K275" s="452"/>
      <c r="L275" s="1377"/>
      <c r="M275" s="1035"/>
      <c r="N275" s="1035"/>
      <c r="O275" s="1035"/>
      <c r="P275" s="1035"/>
      <c r="Q275" s="1035"/>
      <c r="R275" s="1035"/>
      <c r="S275" s="455"/>
      <c r="T275" s="1035"/>
      <c r="U275" s="455"/>
      <c r="V275" s="1035"/>
      <c r="W275" s="1035"/>
      <c r="X275" s="1035"/>
      <c r="Y275" s="1035"/>
      <c r="Z275" s="1035"/>
      <c r="AA275" s="1035"/>
      <c r="AB275" s="1035"/>
    </row>
    <row r="276" spans="1:28">
      <c r="A276" s="452"/>
      <c r="B276" s="452"/>
      <c r="C276" s="452"/>
      <c r="D276" s="452"/>
      <c r="E276" s="452"/>
      <c r="F276" s="452"/>
      <c r="G276" s="452"/>
      <c r="H276" s="452"/>
      <c r="I276" s="452"/>
      <c r="J276" s="452"/>
      <c r="K276" s="452"/>
      <c r="L276" s="1377"/>
      <c r="M276" s="1035"/>
      <c r="N276" s="1035"/>
      <c r="O276" s="1035"/>
      <c r="P276" s="1035"/>
      <c r="Q276" s="1035"/>
      <c r="R276" s="1035"/>
      <c r="S276" s="455"/>
      <c r="T276" s="1035"/>
      <c r="U276" s="455"/>
      <c r="V276" s="1035"/>
      <c r="W276" s="1035"/>
      <c r="X276" s="1035"/>
      <c r="Y276" s="1035"/>
      <c r="Z276" s="1035"/>
      <c r="AA276" s="1035"/>
      <c r="AB276" s="1035"/>
    </row>
    <row r="277" spans="1:28">
      <c r="A277" s="1033"/>
      <c r="B277" s="1033"/>
      <c r="C277" s="1033"/>
      <c r="D277" s="1033"/>
      <c r="E277" s="1033"/>
      <c r="F277" s="1033"/>
      <c r="G277" s="1033"/>
      <c r="H277" s="1033"/>
      <c r="I277" s="1033"/>
      <c r="J277" s="1033"/>
      <c r="K277" s="1033"/>
      <c r="L277" s="1377"/>
      <c r="M277" s="1377"/>
      <c r="N277" s="1377"/>
      <c r="O277" s="1377"/>
      <c r="P277" s="1377"/>
      <c r="Q277" s="1377"/>
      <c r="R277" s="1377"/>
      <c r="S277" s="931"/>
      <c r="T277" s="1377"/>
      <c r="U277" s="931"/>
      <c r="V277" s="1377"/>
      <c r="W277" s="1377"/>
      <c r="X277" s="1377"/>
      <c r="Y277" s="1377"/>
      <c r="Z277" s="1377"/>
      <c r="AA277" s="1377"/>
      <c r="AB277" s="1377"/>
    </row>
    <row r="278" spans="1:28" s="1370" customFormat="1">
      <c r="A278" s="1034"/>
      <c r="B278" s="1032"/>
      <c r="C278" s="1032"/>
      <c r="D278" s="1032"/>
      <c r="E278" s="1032"/>
      <c r="F278" s="1032"/>
      <c r="G278" s="1032"/>
      <c r="H278" s="1032"/>
      <c r="I278" s="1032"/>
      <c r="J278" s="1032"/>
      <c r="K278" s="1032"/>
      <c r="L278" s="1378"/>
      <c r="M278" s="1378"/>
      <c r="N278" s="1378"/>
      <c r="O278" s="1378"/>
      <c r="P278" s="1378"/>
      <c r="Q278" s="1378"/>
      <c r="R278" s="1378"/>
      <c r="T278" s="1378"/>
      <c r="V278" s="1378"/>
      <c r="W278" s="1378"/>
      <c r="X278" s="1378"/>
      <c r="Y278" s="1378"/>
      <c r="Z278" s="1378"/>
      <c r="AA278" s="1378"/>
      <c r="AB278" s="1378"/>
    </row>
    <row r="279" spans="1:28">
      <c r="A279" s="456" t="s">
        <v>507</v>
      </c>
      <c r="B279" s="456"/>
      <c r="C279" s="885"/>
      <c r="D279" s="457"/>
      <c r="E279" s="457"/>
      <c r="F279" s="457"/>
      <c r="G279" s="457"/>
      <c r="H279" s="456"/>
      <c r="I279" s="456"/>
      <c r="J279" s="456"/>
      <c r="K279" s="456"/>
      <c r="L279" s="1377"/>
      <c r="M279" s="1377"/>
      <c r="N279" s="1377"/>
      <c r="O279" s="1377"/>
      <c r="P279" s="1377"/>
      <c r="Q279" s="1377"/>
      <c r="R279" s="1377"/>
      <c r="S279" s="931"/>
      <c r="T279" s="1377"/>
      <c r="U279" s="931"/>
      <c r="V279" s="1377"/>
      <c r="W279" s="1377"/>
      <c r="X279" s="1377"/>
      <c r="Y279" s="1377"/>
      <c r="Z279" s="1377"/>
      <c r="AA279" s="1377"/>
      <c r="AB279" s="1377"/>
    </row>
    <row r="280" spans="1:28">
      <c r="A280" s="460"/>
      <c r="B280" s="460"/>
      <c r="C280" s="458"/>
      <c r="D280" s="458"/>
      <c r="E280" s="458"/>
      <c r="F280" s="458"/>
      <c r="G280" s="458"/>
      <c r="H280" s="460"/>
      <c r="I280" s="460"/>
      <c r="J280" s="460"/>
      <c r="K280" s="460"/>
      <c r="L280" s="1377"/>
      <c r="M280" s="1377"/>
      <c r="N280" s="1377"/>
      <c r="O280" s="1377"/>
      <c r="P280" s="1377"/>
      <c r="Q280" s="1377"/>
      <c r="R280" s="1377"/>
      <c r="S280" s="931"/>
      <c r="T280" s="1377"/>
      <c r="U280" s="931"/>
      <c r="V280" s="1377"/>
      <c r="W280" s="1377"/>
      <c r="X280" s="1377"/>
      <c r="Y280" s="1377"/>
      <c r="Z280" s="1377"/>
      <c r="AA280" s="1377"/>
      <c r="AB280" s="1377"/>
    </row>
    <row r="281" spans="1:28">
      <c r="A281" s="1033"/>
      <c r="B281" s="1033"/>
      <c r="C281" s="1033"/>
      <c r="D281" s="1033"/>
      <c r="E281" s="1033"/>
      <c r="F281" s="1033"/>
      <c r="G281" s="1033"/>
      <c r="H281" s="1033"/>
      <c r="I281" s="1033"/>
      <c r="J281" s="1033"/>
      <c r="K281" s="1033"/>
      <c r="S281" s="931"/>
      <c r="U281" s="931"/>
    </row>
    <row r="282" spans="1:28">
      <c r="A282" s="462" t="s">
        <v>386</v>
      </c>
      <c r="B282" s="462"/>
      <c r="C282" s="461" t="s">
        <v>538</v>
      </c>
      <c r="D282" s="461"/>
      <c r="E282" s="458"/>
      <c r="F282" s="458"/>
      <c r="G282" s="458"/>
      <c r="H282" s="460"/>
      <c r="I282" s="460"/>
      <c r="J282" s="455"/>
      <c r="K282" s="455"/>
      <c r="S282" s="931"/>
      <c r="U282" s="931"/>
    </row>
    <row r="283" spans="1:28">
      <c r="A283" s="460"/>
      <c r="B283" s="460"/>
      <c r="C283" s="458"/>
      <c r="D283" s="458"/>
      <c r="E283" s="458"/>
      <c r="F283" s="458"/>
      <c r="G283" s="458"/>
      <c r="H283" s="460"/>
      <c r="I283" s="460"/>
      <c r="J283" s="455"/>
      <c r="K283" s="455"/>
      <c r="S283" s="931"/>
      <c r="U283" s="931"/>
    </row>
    <row r="284" spans="1:28">
      <c r="A284" s="1232"/>
      <c r="B284" s="1233"/>
      <c r="C284" s="1234" t="s">
        <v>331</v>
      </c>
      <c r="D284" s="1234" t="s">
        <v>76</v>
      </c>
      <c r="E284" s="1235" t="s">
        <v>494</v>
      </c>
      <c r="F284" s="1235" t="s">
        <v>495</v>
      </c>
      <c r="G284" s="1236" t="s">
        <v>3</v>
      </c>
      <c r="H284" s="1236" t="s">
        <v>137</v>
      </c>
      <c r="I284" s="1862" t="s">
        <v>535</v>
      </c>
      <c r="J284" s="1862"/>
      <c r="K284" s="1862"/>
      <c r="S284" s="931"/>
      <c r="U284" s="931"/>
    </row>
    <row r="285" spans="1:28">
      <c r="A285" s="1859" t="s">
        <v>344</v>
      </c>
      <c r="B285" s="1859"/>
      <c r="C285" s="1237">
        <f>C20</f>
        <v>8.3234621766303626E-2</v>
      </c>
      <c r="D285" s="1237">
        <f>D20</f>
        <v>8.4153230361328463E-2</v>
      </c>
      <c r="E285" s="1238">
        <f>E20</f>
        <v>9.1860859502483627E-4</v>
      </c>
      <c r="F285" s="1239">
        <f>F20</f>
        <v>8.3693926063816038E-2</v>
      </c>
      <c r="G285" s="1240">
        <f>G20</f>
        <v>7.5561599515164946E-2</v>
      </c>
      <c r="H285" s="1240">
        <f>I20</f>
        <v>9.4865666777512681E-2</v>
      </c>
      <c r="I285" s="1862"/>
      <c r="J285" s="1862"/>
      <c r="K285" s="1862"/>
      <c r="S285" s="931"/>
      <c r="U285" s="931"/>
    </row>
    <row r="286" spans="1:28">
      <c r="A286" s="1863" t="s">
        <v>529</v>
      </c>
      <c r="B286" s="1863"/>
      <c r="C286" s="1560">
        <f>C382-D382</f>
        <v>1.6792839475487653E-3</v>
      </c>
      <c r="D286" s="1560">
        <f>E382-F382</f>
        <v>-3.6814658240296588E-3</v>
      </c>
      <c r="E286" s="1561">
        <f>D286-C286</f>
        <v>-5.3607497715784241E-3</v>
      </c>
      <c r="F286" s="1562">
        <f>AVERAGE(C286:D286)</f>
        <v>-1.0010909382404468E-3</v>
      </c>
      <c r="G286" s="1560">
        <f>'Vs. Consultation Version '!AA28</f>
        <v>-6.1137119215176616E-4</v>
      </c>
      <c r="H286" s="1563">
        <f>'Vs. Consultation Version '!AD28</f>
        <v>-4.8651178150833085E-3</v>
      </c>
      <c r="I286" s="1862"/>
      <c r="J286" s="1862"/>
      <c r="K286" s="1862"/>
      <c r="S286" s="931"/>
      <c r="U286" s="931"/>
    </row>
    <row r="287" spans="1:28">
      <c r="A287" s="1864" t="s">
        <v>533</v>
      </c>
      <c r="B287" s="1864"/>
      <c r="C287" s="1564">
        <f t="shared" ref="C287:H287" si="7">C285-C289</f>
        <v>1.8854619332375894E-3</v>
      </c>
      <c r="D287" s="1564">
        <f t="shared" si="7"/>
        <v>2.8387853826273707E-3</v>
      </c>
      <c r="E287" s="1565">
        <f t="shared" si="7"/>
        <v>9.5332344938978131E-4</v>
      </c>
      <c r="F287" s="1566">
        <f t="shared" si="7"/>
        <v>2.36212365793248E-3</v>
      </c>
      <c r="G287" s="1564">
        <f t="shared" si="7"/>
        <v>1.8854619332375894E-3</v>
      </c>
      <c r="H287" s="1564">
        <f t="shared" si="7"/>
        <v>1.1602842666077473E-3</v>
      </c>
      <c r="I287" s="1862"/>
      <c r="J287" s="1862"/>
      <c r="K287" s="1862"/>
      <c r="S287" s="931"/>
      <c r="U287" s="931"/>
    </row>
    <row r="288" spans="1:28">
      <c r="A288" s="1856" t="s">
        <v>529</v>
      </c>
      <c r="B288" s="1856"/>
      <c r="C288" s="1560">
        <f t="shared" ref="C288:H288" si="8">-(C290-C286)</f>
        <v>-4.2984766819493953E-3</v>
      </c>
      <c r="D288" s="1560">
        <f t="shared" si="8"/>
        <v>1.307160728151624E-3</v>
      </c>
      <c r="E288" s="1561">
        <f t="shared" si="8"/>
        <v>5.6056374101010192E-3</v>
      </c>
      <c r="F288" s="1562">
        <f t="shared" si="8"/>
        <v>-1.4956579768988856E-3</v>
      </c>
      <c r="G288" s="1560">
        <f t="shared" si="8"/>
        <v>-2.9030657221348621E-3</v>
      </c>
      <c r="H288" s="1563">
        <f t="shared" si="8"/>
        <v>-4.3958888897161347E-3</v>
      </c>
      <c r="I288" s="1862"/>
      <c r="J288" s="1862"/>
      <c r="K288" s="1862"/>
      <c r="S288" s="931"/>
      <c r="U288" s="931"/>
    </row>
    <row r="289" spans="1:21">
      <c r="A289" s="1860" t="s">
        <v>345</v>
      </c>
      <c r="B289" s="1860"/>
      <c r="C289" s="1722">
        <f>C22</f>
        <v>8.1349159833066037E-2</v>
      </c>
      <c r="D289" s="1722">
        <f>D22</f>
        <v>8.1314444978701092E-2</v>
      </c>
      <c r="E289" s="1723">
        <f>E22</f>
        <v>-3.4714854364945036E-5</v>
      </c>
      <c r="F289" s="1724">
        <f>F22</f>
        <v>8.1331802405883558E-2</v>
      </c>
      <c r="G289" s="1240">
        <f>G22</f>
        <v>7.3676137581927356E-2</v>
      </c>
      <c r="H289" s="1240">
        <f>I22</f>
        <v>9.3705382510904933E-2</v>
      </c>
      <c r="I289" s="455"/>
      <c r="J289" s="455"/>
      <c r="K289" s="455"/>
      <c r="S289" s="931"/>
      <c r="U289" s="931"/>
    </row>
    <row r="290" spans="1:21">
      <c r="A290" s="1861" t="s">
        <v>532</v>
      </c>
      <c r="B290" s="1861"/>
      <c r="C290" s="1719">
        <f>C385</f>
        <v>5.9777606294981606E-3</v>
      </c>
      <c r="D290" s="1719">
        <f>E385</f>
        <v>-4.9886265521812828E-3</v>
      </c>
      <c r="E290" s="1720">
        <f>D290-C290</f>
        <v>-1.0966387181679443E-2</v>
      </c>
      <c r="F290" s="1721">
        <f>AVERAGE(C290:D290)</f>
        <v>4.9456703865843887E-4</v>
      </c>
      <c r="G290" s="1241">
        <f>'Vs. Consultation Version '!AA38</f>
        <v>2.291694529983096E-3</v>
      </c>
      <c r="H290" s="1246">
        <f>'Vs. Consultation Version '!AD38</f>
        <v>-4.6922892536717387E-4</v>
      </c>
      <c r="I290" s="455"/>
      <c r="J290" s="455"/>
      <c r="K290" s="455"/>
      <c r="S290" s="931"/>
      <c r="U290" s="931"/>
    </row>
    <row r="291" spans="1:21">
      <c r="A291" s="455"/>
      <c r="B291" s="455"/>
      <c r="C291" s="455"/>
      <c r="D291" s="455"/>
      <c r="E291" s="455"/>
      <c r="F291" s="455"/>
      <c r="G291" s="455"/>
      <c r="H291" s="455"/>
      <c r="I291" s="455"/>
      <c r="J291" s="455"/>
      <c r="K291" s="455"/>
      <c r="S291" s="931"/>
      <c r="U291" s="931"/>
    </row>
    <row r="292" spans="1:21">
      <c r="A292" s="455"/>
      <c r="B292" s="455"/>
      <c r="C292" s="455"/>
      <c r="D292" s="455"/>
      <c r="E292" s="455"/>
      <c r="F292" s="455"/>
      <c r="G292" s="455"/>
      <c r="H292" s="455"/>
      <c r="I292" s="455"/>
      <c r="J292" s="455"/>
      <c r="K292" s="455"/>
      <c r="S292" s="931"/>
      <c r="U292" s="931"/>
    </row>
    <row r="293" spans="1:21">
      <c r="A293" s="455"/>
      <c r="B293" s="455"/>
      <c r="C293" s="461" t="s">
        <v>550</v>
      </c>
      <c r="D293" s="455"/>
      <c r="E293" s="455"/>
      <c r="F293" s="455"/>
      <c r="G293" s="455"/>
      <c r="H293" s="455"/>
      <c r="I293" s="455"/>
      <c r="J293" s="455"/>
      <c r="K293" s="455"/>
      <c r="S293" s="931"/>
      <c r="U293" s="931"/>
    </row>
    <row r="294" spans="1:21" s="1377" customFormat="1">
      <c r="A294" s="1035"/>
      <c r="B294" s="1035"/>
      <c r="C294" s="1035"/>
      <c r="D294" s="1035"/>
      <c r="E294" s="1035"/>
      <c r="F294" s="1035"/>
      <c r="G294" s="1035"/>
      <c r="H294" s="1035"/>
      <c r="I294" s="1035"/>
      <c r="J294" s="1035"/>
      <c r="K294" s="1035"/>
    </row>
    <row r="295" spans="1:21" s="1377" customFormat="1">
      <c r="A295" s="1708" t="s">
        <v>388</v>
      </c>
      <c r="B295" s="475"/>
      <c r="C295" s="1442" t="s">
        <v>311</v>
      </c>
      <c r="D295" s="1448" t="s">
        <v>596</v>
      </c>
      <c r="E295" s="1442" t="s">
        <v>76</v>
      </c>
      <c r="F295" s="1448" t="s">
        <v>596</v>
      </c>
      <c r="G295" s="1035"/>
      <c r="H295" s="1035"/>
      <c r="I295" s="1035"/>
      <c r="J295" s="1035"/>
      <c r="K295" s="1035"/>
    </row>
    <row r="296" spans="1:21" s="1377" customFormat="1">
      <c r="A296" s="1645" t="s">
        <v>516</v>
      </c>
      <c r="B296" s="1712" t="s">
        <v>4</v>
      </c>
      <c r="C296" s="261">
        <f>C366</f>
        <v>2.2699083104395609E-2</v>
      </c>
      <c r="D296" s="1430">
        <f>C366-D366</f>
        <v>-3.6040722148429974E-3</v>
      </c>
      <c r="E296" s="1035"/>
      <c r="F296" s="1035"/>
      <c r="G296" s="1035"/>
      <c r="H296" s="1035"/>
      <c r="I296" s="1035"/>
      <c r="J296" s="1035"/>
      <c r="K296" s="1035"/>
    </row>
    <row r="297" spans="1:21" s="1377" customFormat="1">
      <c r="A297" s="886" t="s">
        <v>391</v>
      </c>
      <c r="B297" s="464"/>
      <c r="C297" s="1035"/>
      <c r="D297" s="1445"/>
      <c r="E297" s="1035"/>
      <c r="F297" s="1035"/>
      <c r="G297" s="1035"/>
      <c r="H297" s="1035"/>
      <c r="I297" s="1035"/>
      <c r="J297" s="1035"/>
      <c r="K297" s="1035"/>
    </row>
    <row r="298" spans="1:21" s="1377" customFormat="1">
      <c r="A298" s="474" t="s">
        <v>347</v>
      </c>
      <c r="B298" s="474" t="s">
        <v>172</v>
      </c>
      <c r="C298" s="1604">
        <f>C368</f>
        <v>0.42</v>
      </c>
      <c r="D298" s="1374">
        <f>C368-D368</f>
        <v>-5.2933094166032313E-2</v>
      </c>
      <c r="E298" s="1604">
        <f>E368</f>
        <v>0.42</v>
      </c>
      <c r="F298" s="1374">
        <f>E368-F368</f>
        <v>0.14499999999999996</v>
      </c>
      <c r="G298" s="1035"/>
      <c r="H298" s="1035"/>
      <c r="I298" s="1035"/>
      <c r="J298" s="1035"/>
      <c r="K298" s="1035"/>
    </row>
    <row r="299" spans="1:21" s="1377" customFormat="1">
      <c r="A299" s="464"/>
      <c r="B299" s="464" t="s">
        <v>364</v>
      </c>
      <c r="C299" s="1709">
        <f>C369</f>
        <v>0.72413793103448265</v>
      </c>
      <c r="D299" s="1360">
        <f>C369-D369</f>
        <v>-0.1731544030719806</v>
      </c>
      <c r="E299" s="1709">
        <f>E369</f>
        <v>0.72413793103448265</v>
      </c>
      <c r="F299" s="1360">
        <f>E369-F369</f>
        <v>0.34482758620689641</v>
      </c>
      <c r="G299" s="1035"/>
      <c r="H299" s="1035"/>
      <c r="I299" s="1035"/>
      <c r="J299" s="1035"/>
      <c r="K299" s="1035"/>
    </row>
    <row r="300" spans="1:21" s="1377" customFormat="1">
      <c r="A300" s="464" t="s">
        <v>138</v>
      </c>
      <c r="B300" s="464"/>
      <c r="C300" s="1710" t="str">
        <f>C370</f>
        <v>BBB</v>
      </c>
      <c r="D300" s="915" t="str">
        <f>C322</f>
        <v>0 cran(s)</v>
      </c>
      <c r="E300" s="1710" t="str">
        <f>E370</f>
        <v>BBB-</v>
      </c>
      <c r="F300" s="915" t="str">
        <f>E322</f>
        <v>-1 cran(s)</v>
      </c>
      <c r="G300" s="1035"/>
      <c r="H300" s="1035"/>
      <c r="I300" s="1035"/>
      <c r="J300" s="1035"/>
      <c r="K300" s="1035"/>
    </row>
    <row r="301" spans="1:21" s="1377" customFormat="1">
      <c r="A301" s="531" t="s">
        <v>14</v>
      </c>
      <c r="B301" s="531" t="s">
        <v>15</v>
      </c>
      <c r="C301" s="889">
        <f>C371</f>
        <v>1.664773248407642E-2</v>
      </c>
      <c r="D301" s="915">
        <f>C371-D371</f>
        <v>0</v>
      </c>
      <c r="E301" s="889">
        <f>E371</f>
        <v>2.2971535031847127E-2</v>
      </c>
      <c r="F301" s="915">
        <f>E371-F371</f>
        <v>6.3238025477707072E-3</v>
      </c>
      <c r="G301" s="1035"/>
      <c r="H301" s="1035"/>
      <c r="I301" s="1035"/>
      <c r="J301" s="1035"/>
      <c r="K301" s="1035"/>
    </row>
    <row r="302" spans="1:21" s="1377" customFormat="1">
      <c r="A302" s="1713" t="s">
        <v>346</v>
      </c>
      <c r="B302" s="1713" t="s">
        <v>389</v>
      </c>
      <c r="C302" s="1714">
        <f>C373</f>
        <v>3.5955056179775271</v>
      </c>
      <c r="D302" s="1714">
        <f>C373-D373</f>
        <v>2.3711041748814301</v>
      </c>
      <c r="E302" s="1714">
        <f>E373</f>
        <v>2.3880597014925371</v>
      </c>
      <c r="F302" s="1714">
        <f>E373-F373</f>
        <v>-4.4119402985074627</v>
      </c>
      <c r="G302" s="1035"/>
      <c r="H302" s="1035"/>
      <c r="I302" s="1035"/>
      <c r="J302" s="1035"/>
      <c r="K302" s="1035"/>
    </row>
    <row r="303" spans="1:21" s="1377" customFormat="1">
      <c r="A303" s="897"/>
      <c r="B303" s="1527" t="s">
        <v>5</v>
      </c>
      <c r="C303" s="1715">
        <f>C374</f>
        <v>0.27812500000000007</v>
      </c>
      <c r="D303" s="1716">
        <f>C374-D374</f>
        <v>-0.53860059734276222</v>
      </c>
      <c r="E303" s="1715">
        <f>E374</f>
        <v>0.41875000000000001</v>
      </c>
      <c r="F303" s="1716">
        <f>E374-F374</f>
        <v>0.27169117647058827</v>
      </c>
      <c r="G303" s="1035"/>
      <c r="H303" s="1035"/>
      <c r="I303" s="1035"/>
      <c r="J303" s="1035"/>
      <c r="K303" s="1035"/>
    </row>
    <row r="304" spans="1:21" s="1377" customFormat="1">
      <c r="A304" s="531" t="s">
        <v>342</v>
      </c>
      <c r="B304" s="531" t="s">
        <v>343</v>
      </c>
      <c r="C304" s="896">
        <f>C376</f>
        <v>0.22151118186029947</v>
      </c>
      <c r="D304" s="1711">
        <f>C376-D376</f>
        <v>0</v>
      </c>
      <c r="E304" s="896">
        <f>E376</f>
        <v>0.29832216062752187</v>
      </c>
      <c r="F304" s="1711">
        <f>E376-F376</f>
        <v>7.6810978767222399E-2</v>
      </c>
      <c r="G304" s="1035"/>
      <c r="H304" s="1035"/>
      <c r="I304" s="1035"/>
      <c r="J304" s="1035"/>
      <c r="K304" s="1035"/>
    </row>
    <row r="305" spans="1:21" s="1377" customFormat="1">
      <c r="A305" s="475" t="s">
        <v>12</v>
      </c>
      <c r="B305" s="475" t="s">
        <v>147</v>
      </c>
      <c r="C305" s="1717">
        <f>C377</f>
        <v>0.78091896020463247</v>
      </c>
      <c r="D305" s="1718">
        <f>C377-D377</f>
        <v>-4.3260977247640886E-2</v>
      </c>
      <c r="E305" s="1717">
        <f>E377</f>
        <v>0.74420304748845612</v>
      </c>
      <c r="F305" s="1718">
        <f>E377-F377</f>
        <v>4.9435973095553365E-2</v>
      </c>
      <c r="G305" s="1035"/>
      <c r="H305" s="1035"/>
      <c r="I305" s="1035"/>
      <c r="J305" s="1035"/>
      <c r="K305" s="1035"/>
    </row>
    <row r="306" spans="1:21" s="1377" customFormat="1">
      <c r="A306" s="1471"/>
      <c r="B306" s="1471"/>
      <c r="C306" s="915"/>
      <c r="D306" s="1035"/>
      <c r="E306" s="1035"/>
      <c r="F306" s="1035"/>
      <c r="G306" s="1035"/>
      <c r="H306" s="1035"/>
      <c r="I306" s="1035"/>
      <c r="J306" s="1035"/>
      <c r="K306" s="1035"/>
    </row>
    <row r="307" spans="1:21" s="1377" customFormat="1">
      <c r="A307" s="1471"/>
      <c r="B307" s="1471"/>
      <c r="C307" s="915"/>
      <c r="D307" s="1035"/>
      <c r="E307" s="1035"/>
      <c r="F307" s="1035"/>
      <c r="G307" s="1035"/>
      <c r="H307" s="1035"/>
      <c r="I307" s="1035"/>
      <c r="J307" s="1035"/>
      <c r="K307" s="1035"/>
    </row>
    <row r="308" spans="1:21" s="1377" customFormat="1">
      <c r="A308" s="1438"/>
      <c r="B308" s="1438"/>
      <c r="C308" s="1630" t="s">
        <v>311</v>
      </c>
      <c r="D308" s="1545"/>
      <c r="E308" s="1630" t="s">
        <v>76</v>
      </c>
      <c r="F308" s="1545"/>
      <c r="G308" s="455"/>
      <c r="H308" s="455"/>
      <c r="I308" s="455"/>
      <c r="J308" s="455"/>
      <c r="K308" s="455"/>
    </row>
    <row r="309" spans="1:21" s="1377" customFormat="1">
      <c r="A309" s="1652" t="s">
        <v>551</v>
      </c>
      <c r="B309" s="1438"/>
      <c r="C309" s="1448" t="s">
        <v>596</v>
      </c>
      <c r="D309" s="1631" t="s">
        <v>517</v>
      </c>
      <c r="E309" s="1448" t="s">
        <v>596</v>
      </c>
      <c r="F309" s="1631" t="s">
        <v>517</v>
      </c>
      <c r="G309" s="455"/>
      <c r="H309" s="1460" t="s">
        <v>552</v>
      </c>
      <c r="I309" s="455"/>
      <c r="J309" s="455"/>
      <c r="K309" s="455"/>
    </row>
    <row r="310" spans="1:21" s="1377" customFormat="1">
      <c r="A310" s="1653" t="s">
        <v>314</v>
      </c>
      <c r="B310" s="1653" t="s">
        <v>258</v>
      </c>
      <c r="C310" s="1451">
        <f>C351</f>
        <v>0</v>
      </c>
      <c r="D310" s="1451">
        <f>E351</f>
        <v>0</v>
      </c>
      <c r="E310" s="1545">
        <f>F351</f>
        <v>6.3238025477707072E-3</v>
      </c>
      <c r="F310" s="1451">
        <f>H351</f>
        <v>1.7390457006369446E-3</v>
      </c>
      <c r="G310" s="455"/>
      <c r="H310" s="455"/>
      <c r="I310" s="455"/>
      <c r="J310" s="455"/>
      <c r="K310" s="455"/>
    </row>
    <row r="311" spans="1:21" s="1377" customFormat="1">
      <c r="A311" s="1597" t="s">
        <v>313</v>
      </c>
      <c r="B311" s="1597" t="s">
        <v>320</v>
      </c>
      <c r="C311" s="1450">
        <f>C352</f>
        <v>-2.329810898416676E-3</v>
      </c>
      <c r="D311" s="1450">
        <f>E352</f>
        <v>-1.8602730213706008E-3</v>
      </c>
      <c r="E311" s="1654">
        <f>F352</f>
        <v>2.6623640107005242E-3</v>
      </c>
      <c r="F311" s="1450">
        <f>H352</f>
        <v>2.9241234778940766E-3</v>
      </c>
      <c r="G311" s="455"/>
      <c r="H311" s="455"/>
      <c r="I311" s="455"/>
      <c r="J311" s="455"/>
      <c r="K311" s="455"/>
    </row>
    <row r="312" spans="1:21" s="1377" customFormat="1">
      <c r="A312" s="1597" t="s">
        <v>597</v>
      </c>
      <c r="B312" s="1598"/>
      <c r="C312" s="1599">
        <f>C321</f>
        <v>-5.2933094166032313E-2</v>
      </c>
      <c r="D312" s="1706">
        <f>E355</f>
        <v>3.7263833583678217E-3</v>
      </c>
      <c r="E312" s="1600">
        <f>E321</f>
        <v>0.14499999999999996</v>
      </c>
      <c r="F312" s="1706">
        <f>H355</f>
        <v>-8.6767616764086165E-3</v>
      </c>
      <c r="G312" s="455"/>
      <c r="H312" s="1429" t="s">
        <v>599</v>
      </c>
      <c r="I312" s="455"/>
      <c r="J312" s="455"/>
      <c r="K312" s="455"/>
    </row>
    <row r="313" spans="1:21" s="1377" customFormat="1">
      <c r="A313" s="1649" t="s">
        <v>554</v>
      </c>
      <c r="B313" s="1650"/>
      <c r="C313" s="1611"/>
      <c r="D313" s="1540">
        <f>C312*(C310-C311/(1-D361))</f>
        <v>-1.8682638944847484E-4</v>
      </c>
      <c r="E313" s="1651"/>
      <c r="F313" s="1540">
        <f>E312*(E310-E311/(1-F361))</f>
        <v>3.3212667384793711E-4</v>
      </c>
      <c r="G313" s="1453"/>
      <c r="H313" s="1437" t="s">
        <v>555</v>
      </c>
      <c r="I313" s="1454"/>
      <c r="J313" s="1454"/>
      <c r="K313" s="1454"/>
    </row>
    <row r="314" spans="1:21" s="1377" customFormat="1">
      <c r="A314" s="1449" t="s">
        <v>393</v>
      </c>
      <c r="B314" s="1449" t="s">
        <v>568</v>
      </c>
      <c r="C314" s="1450">
        <f>C354</f>
        <v>-4.2984766819494022E-3</v>
      </c>
      <c r="D314" s="1450">
        <f>E354</f>
        <v>4.2984766819494022E-3</v>
      </c>
      <c r="E314" s="1450">
        <f>F354</f>
        <v>1.3071607281516281E-3</v>
      </c>
      <c r="F314" s="1654">
        <f>H354</f>
        <v>-1.3071607281516281E-3</v>
      </c>
      <c r="G314" s="455"/>
      <c r="H314" s="455"/>
      <c r="I314" s="455"/>
      <c r="J314" s="455"/>
      <c r="K314" s="455"/>
    </row>
    <row r="315" spans="1:21" s="1377" customFormat="1">
      <c r="A315" s="1656" t="s">
        <v>281</v>
      </c>
      <c r="B315" s="1656"/>
      <c r="C315" s="1658">
        <f>C385</f>
        <v>5.9777606294981606E-3</v>
      </c>
      <c r="D315" s="1657">
        <f>SUM(D310:D314)</f>
        <v>5.9777606294981484E-3</v>
      </c>
      <c r="E315" s="1659">
        <f>E385</f>
        <v>-4.9886265521812828E-3</v>
      </c>
      <c r="F315" s="1657">
        <f>SUM(F310:F314)</f>
        <v>-4.9886265521812863E-3</v>
      </c>
      <c r="G315" s="455"/>
      <c r="H315" s="455"/>
      <c r="I315" s="455"/>
      <c r="J315" s="455"/>
      <c r="K315" s="455"/>
    </row>
    <row r="316" spans="1:21" s="1377" customFormat="1">
      <c r="A316" s="1035"/>
      <c r="B316" s="1035"/>
      <c r="C316" s="1035"/>
      <c r="D316" s="1035"/>
      <c r="E316" s="1035"/>
      <c r="F316" s="1035"/>
      <c r="G316" s="1035"/>
      <c r="H316" s="1035"/>
      <c r="I316" s="1035"/>
      <c r="J316" s="1035"/>
      <c r="K316" s="1035"/>
    </row>
    <row r="317" spans="1:21" ht="4.5" customHeight="1">
      <c r="S317" s="931"/>
      <c r="U317" s="931"/>
    </row>
    <row r="318" spans="1:21">
      <c r="A318" s="1441" t="s">
        <v>600</v>
      </c>
      <c r="B318" s="455"/>
      <c r="C318" s="455"/>
      <c r="D318" s="455"/>
      <c r="E318" s="455"/>
      <c r="F318" s="455"/>
      <c r="G318" s="455"/>
      <c r="H318" s="455"/>
      <c r="I318" s="455"/>
      <c r="J318" s="455"/>
      <c r="K318" s="455"/>
      <c r="S318" s="931"/>
      <c r="U318" s="931"/>
    </row>
    <row r="319" spans="1:21" ht="12.75" customHeight="1">
      <c r="A319" s="1459"/>
      <c r="B319" s="1459"/>
      <c r="C319" s="1613" t="s">
        <v>311</v>
      </c>
      <c r="D319" s="1593"/>
      <c r="E319" s="1613" t="s">
        <v>76</v>
      </c>
      <c r="F319" s="1593"/>
      <c r="G319" s="1464"/>
      <c r="H319" s="1464"/>
      <c r="I319" s="1464"/>
      <c r="J319" s="1464"/>
      <c r="K319" s="1464"/>
      <c r="S319" s="931"/>
      <c r="U319" s="931"/>
    </row>
    <row r="320" spans="1:21">
      <c r="A320" s="1614" t="s">
        <v>391</v>
      </c>
      <c r="B320" s="1471"/>
      <c r="C320" s="1476" t="s">
        <v>560</v>
      </c>
      <c r="D320" s="1615" t="s">
        <v>517</v>
      </c>
      <c r="E320" s="1476" t="s">
        <v>560</v>
      </c>
      <c r="F320" s="1615" t="s">
        <v>517</v>
      </c>
      <c r="G320" s="1464"/>
      <c r="H320" s="1464"/>
      <c r="I320" s="1464"/>
      <c r="J320" s="1464"/>
      <c r="K320" s="1464"/>
      <c r="S320" s="931"/>
      <c r="U320" s="931"/>
    </row>
    <row r="321" spans="1:21">
      <c r="A321" s="1467" t="s">
        <v>347</v>
      </c>
      <c r="B321" s="1467" t="s">
        <v>172</v>
      </c>
      <c r="C321" s="1481">
        <f>C339</f>
        <v>-5.2933094166032313E-2</v>
      </c>
      <c r="D321" s="1616">
        <f>D327-SUM(D323:D326)</f>
        <v>1.3340175387140866E-3</v>
      </c>
      <c r="E321" s="1575">
        <f>F339</f>
        <v>0.14499999999999996</v>
      </c>
      <c r="F321" s="1616">
        <f>F327-SUM(F323:F326)</f>
        <v>-1.3810548115759077E-3</v>
      </c>
      <c r="G321" s="1464"/>
      <c r="H321" s="1617" t="s">
        <v>556</v>
      </c>
      <c r="I321" s="1464"/>
      <c r="J321" s="1464"/>
      <c r="K321" s="1464"/>
      <c r="S321" s="931"/>
      <c r="U321" s="931"/>
    </row>
    <row r="322" spans="1:21">
      <c r="A322" s="1459" t="s">
        <v>138</v>
      </c>
      <c r="B322" s="1471"/>
      <c r="C322" s="1485" t="str">
        <f>C341</f>
        <v>0 cran(s)</v>
      </c>
      <c r="D322" s="1495"/>
      <c r="E322" s="1485" t="str">
        <f>F341</f>
        <v>-1 cran(s)</v>
      </c>
      <c r="F322" s="1495"/>
      <c r="G322" s="1464"/>
      <c r="H322" s="1618" t="s">
        <v>561</v>
      </c>
      <c r="I322" s="1464"/>
      <c r="J322" s="1464"/>
      <c r="K322" s="1464"/>
      <c r="S322" s="931"/>
      <c r="U322" s="931"/>
    </row>
    <row r="323" spans="1:21">
      <c r="A323" s="1467" t="s">
        <v>390</v>
      </c>
      <c r="B323" s="1467" t="s">
        <v>11</v>
      </c>
      <c r="C323" s="1619">
        <f>C346</f>
        <v>0</v>
      </c>
      <c r="D323" s="1468">
        <f>E346</f>
        <v>0</v>
      </c>
      <c r="E323" s="1620">
        <f>F346</f>
        <v>0</v>
      </c>
      <c r="F323" s="1483">
        <f>H346</f>
        <v>0</v>
      </c>
      <c r="G323" s="1464"/>
      <c r="H323" s="1618" t="s">
        <v>558</v>
      </c>
      <c r="I323" s="1464"/>
      <c r="J323" s="1464"/>
      <c r="K323" s="1464"/>
      <c r="S323" s="931"/>
      <c r="U323" s="931"/>
    </row>
    <row r="324" spans="1:21">
      <c r="A324" s="1621" t="s">
        <v>342</v>
      </c>
      <c r="B324" s="1621" t="s">
        <v>343</v>
      </c>
      <c r="C324" s="1622">
        <f>C347</f>
        <v>0</v>
      </c>
      <c r="D324" s="1623">
        <f>E347</f>
        <v>0</v>
      </c>
      <c r="E324" s="1624">
        <f>F347</f>
        <v>7.6810978767222399E-2</v>
      </c>
      <c r="F324" s="1623">
        <f>H347</f>
        <v>-1.1375757872278175E-3</v>
      </c>
      <c r="G324" s="1464"/>
      <c r="H324" s="1460"/>
      <c r="I324" s="1464"/>
      <c r="J324" s="1464"/>
      <c r="K324" s="1464"/>
      <c r="S324" s="931"/>
      <c r="U324" s="931"/>
    </row>
    <row r="325" spans="1:21">
      <c r="A325" s="471" t="s">
        <v>179</v>
      </c>
      <c r="B325" s="893" t="s">
        <v>319</v>
      </c>
      <c r="C325" s="1428">
        <f>C349</f>
        <v>0</v>
      </c>
      <c r="D325" s="1434">
        <f>E349</f>
        <v>0</v>
      </c>
      <c r="E325" s="874">
        <f>F349</f>
        <v>0</v>
      </c>
      <c r="F325" s="1434">
        <f>H349</f>
        <v>0</v>
      </c>
      <c r="G325" s="1464"/>
      <c r="H325" s="1460" t="s">
        <v>572</v>
      </c>
      <c r="I325" s="1464"/>
      <c r="J325" s="1464"/>
      <c r="K325" s="1464"/>
      <c r="S325" s="931"/>
      <c r="U325" s="931"/>
    </row>
    <row r="326" spans="1:21">
      <c r="A326" s="1625" t="s">
        <v>519</v>
      </c>
      <c r="B326" s="1625" t="s">
        <v>5</v>
      </c>
      <c r="C326" s="1534">
        <f>C345</f>
        <v>-0.53860059734276222</v>
      </c>
      <c r="D326" s="1479">
        <f>E345</f>
        <v>3.8448717681421915E-3</v>
      </c>
      <c r="E326" s="1534">
        <f>F345</f>
        <v>0.27169117647058827</v>
      </c>
      <c r="F326" s="1479">
        <f>H345</f>
        <v>-2.6678586893541115E-3</v>
      </c>
      <c r="G326" s="1464"/>
      <c r="H326" s="1634" t="s">
        <v>573</v>
      </c>
      <c r="I326" s="1464"/>
      <c r="J326" s="1464"/>
      <c r="K326" s="1464"/>
      <c r="S326" s="931"/>
      <c r="U326" s="931"/>
    </row>
    <row r="327" spans="1:21">
      <c r="A327" s="1626" t="s">
        <v>522</v>
      </c>
      <c r="B327" s="1626"/>
      <c r="C327" s="1627"/>
      <c r="D327" s="1628">
        <f>D315-D328</f>
        <v>5.1788893068562781E-3</v>
      </c>
      <c r="E327" s="1627"/>
      <c r="F327" s="1628">
        <f>F315-F328</f>
        <v>-5.1864892881578369E-3</v>
      </c>
      <c r="G327" s="1464"/>
      <c r="H327" s="1464"/>
      <c r="I327" s="1464"/>
      <c r="J327" s="1464"/>
      <c r="K327" s="1464"/>
      <c r="S327" s="931"/>
      <c r="U327" s="931"/>
    </row>
    <row r="328" spans="1:21">
      <c r="A328" s="1574" t="s">
        <v>388</v>
      </c>
      <c r="B328" s="1480" t="s">
        <v>4</v>
      </c>
      <c r="C328" s="1479">
        <f>D296</f>
        <v>-3.6040722148429974E-3</v>
      </c>
      <c r="D328" s="1479">
        <f>-D329*D361*D374*$C328</f>
        <v>7.988713226418704E-4</v>
      </c>
      <c r="E328" s="1479"/>
      <c r="F328" s="1479">
        <f>-F329*F361*F374*$C328</f>
        <v>1.9786273597655049E-4</v>
      </c>
      <c r="G328" s="455"/>
      <c r="H328" s="1594" t="s">
        <v>603</v>
      </c>
      <c r="I328" s="455"/>
      <c r="J328" s="455"/>
      <c r="K328" s="455"/>
      <c r="S328" s="931"/>
      <c r="U328" s="931"/>
    </row>
    <row r="329" spans="1:21">
      <c r="A329" s="455"/>
      <c r="B329" s="894" t="s">
        <v>602</v>
      </c>
      <c r="C329" s="455"/>
      <c r="D329" s="1432">
        <f>(1-D368)/(1-D361)</f>
        <v>0.79846524137852992</v>
      </c>
      <c r="E329" s="455"/>
      <c r="F329" s="1432">
        <f>(1-F368)/(1-F361)</f>
        <v>1.098318436600515</v>
      </c>
      <c r="G329" s="455"/>
      <c r="H329" s="455"/>
      <c r="I329" s="455"/>
      <c r="J329" s="455"/>
      <c r="K329" s="455"/>
      <c r="S329" s="931"/>
      <c r="U329" s="931"/>
    </row>
    <row r="330" spans="1:21">
      <c r="A330" s="455"/>
      <c r="B330" s="455"/>
      <c r="C330" s="455"/>
      <c r="D330" s="455"/>
      <c r="E330" s="455"/>
      <c r="F330" s="455"/>
      <c r="G330" s="455"/>
      <c r="H330" s="455"/>
      <c r="I330" s="455"/>
      <c r="J330" s="455"/>
      <c r="K330" s="455"/>
      <c r="S330" s="931"/>
      <c r="U330" s="931"/>
    </row>
    <row r="331" spans="1:21" ht="12.75" customHeight="1">
      <c r="A331" s="1858" t="s">
        <v>576</v>
      </c>
      <c r="B331" s="1858"/>
      <c r="C331" s="1461" t="s">
        <v>536</v>
      </c>
      <c r="D331" s="1461"/>
      <c r="E331" s="1460"/>
      <c r="F331" s="1460"/>
      <c r="G331" s="1460"/>
      <c r="H331" s="1460"/>
      <c r="I331" s="1462"/>
      <c r="J331" s="1462"/>
      <c r="K331" s="1462"/>
      <c r="S331" s="931"/>
      <c r="U331" s="931"/>
    </row>
    <row r="332" spans="1:21">
      <c r="A332" s="1858"/>
      <c r="B332" s="1858"/>
      <c r="C332" s="1459"/>
      <c r="D332" s="1464"/>
      <c r="E332" s="1464"/>
      <c r="F332" s="1459"/>
      <c r="G332" s="1464"/>
      <c r="H332" s="1460"/>
      <c r="I332" s="1462"/>
      <c r="J332" s="1462"/>
      <c r="K332" s="1462"/>
      <c r="S332" s="931"/>
      <c r="U332" s="931"/>
    </row>
    <row r="333" spans="1:21">
      <c r="A333" s="1463"/>
      <c r="B333" s="1463"/>
      <c r="C333" s="1465" t="s">
        <v>311</v>
      </c>
      <c r="D333" s="1466" t="s">
        <v>539</v>
      </c>
      <c r="E333" s="1466" t="s">
        <v>514</v>
      </c>
      <c r="F333" s="1496" t="s">
        <v>76</v>
      </c>
      <c r="G333" s="1466" t="s">
        <v>539</v>
      </c>
      <c r="H333" s="1466" t="s">
        <v>514</v>
      </c>
      <c r="I333" s="1662"/>
      <c r="J333" s="1522"/>
      <c r="K333" s="1522"/>
      <c r="S333" s="931"/>
      <c r="U333" s="931"/>
    </row>
    <row r="334" spans="1:21">
      <c r="A334" s="1467" t="s">
        <v>7</v>
      </c>
      <c r="B334" s="1467" t="s">
        <v>0</v>
      </c>
      <c r="C334" s="1468">
        <f>C363-D363</f>
        <v>0</v>
      </c>
      <c r="D334" s="1469">
        <f>D352+D351</f>
        <v>1.2713983355445622</v>
      </c>
      <c r="E334" s="1470">
        <f>$C334*D334</f>
        <v>0</v>
      </c>
      <c r="F334" s="1537"/>
      <c r="G334" s="1482">
        <f>G352+G351</f>
        <v>1.3733184366005151</v>
      </c>
      <c r="H334" s="1483">
        <f>$C334*G334</f>
        <v>0</v>
      </c>
      <c r="I334" s="1462"/>
      <c r="J334" s="1469"/>
      <c r="K334" s="1359"/>
      <c r="S334" s="931"/>
      <c r="U334" s="931"/>
    </row>
    <row r="335" spans="1:21">
      <c r="A335" s="1471" t="s">
        <v>8</v>
      </c>
      <c r="B335" s="1471" t="s">
        <v>132</v>
      </c>
      <c r="C335" s="1472">
        <f>C364-D364</f>
        <v>0</v>
      </c>
      <c r="D335" s="1469">
        <f>D352*D377</f>
        <v>0.65807903269717116</v>
      </c>
      <c r="E335" s="1470">
        <f>$C335*D335</f>
        <v>0</v>
      </c>
      <c r="F335" s="1538"/>
      <c r="G335" s="1469">
        <f>G352*F377</f>
        <v>0.76307548694872662</v>
      </c>
      <c r="H335" s="1470">
        <f>$C335*G335</f>
        <v>0</v>
      </c>
      <c r="I335" s="1462"/>
      <c r="J335" s="1469"/>
      <c r="K335" s="1359"/>
      <c r="S335" s="931"/>
      <c r="U335" s="931"/>
    </row>
    <row r="336" spans="1:21">
      <c r="A336" s="1471" t="s">
        <v>316</v>
      </c>
      <c r="B336" s="1471" t="s">
        <v>134</v>
      </c>
      <c r="C336" s="1472">
        <f>C365-D365</f>
        <v>0</v>
      </c>
      <c r="D336" s="1469">
        <f>D352*D378</f>
        <v>0.63877219310282396</v>
      </c>
      <c r="E336" s="1470">
        <f>$C336*D336</f>
        <v>0</v>
      </c>
      <c r="F336" s="1538"/>
      <c r="G336" s="1469">
        <f>G352*F378</f>
        <v>0.87865474928041198</v>
      </c>
      <c r="H336" s="1470">
        <f>$C336*G336</f>
        <v>0</v>
      </c>
      <c r="I336" s="1462"/>
      <c r="J336" s="1469"/>
      <c r="K336" s="1359"/>
      <c r="S336" s="931"/>
      <c r="U336" s="931"/>
    </row>
    <row r="337" spans="1:21">
      <c r="A337" s="1473" t="s">
        <v>516</v>
      </c>
      <c r="B337" s="1473" t="s">
        <v>4</v>
      </c>
      <c r="C337" s="1472">
        <f>C366-D366</f>
        <v>-3.6040722148429974E-3</v>
      </c>
      <c r="D337" s="1474">
        <f>-D352*D361*D374</f>
        <v>-0.22165796771546412</v>
      </c>
      <c r="E337" s="1475">
        <f>$C337*D337</f>
        <v>7.988713226418704E-4</v>
      </c>
      <c r="F337" s="1539"/>
      <c r="G337" s="1474">
        <f>-G352*F361*F374</f>
        <v>-5.4899770088311033E-2</v>
      </c>
      <c r="H337" s="1475">
        <f>$C337*G337</f>
        <v>1.9786273597655049E-4</v>
      </c>
      <c r="I337" s="1517"/>
      <c r="J337" s="1469"/>
      <c r="K337" s="1359"/>
      <c r="S337" s="931"/>
      <c r="U337" s="931"/>
    </row>
    <row r="338" spans="1:21">
      <c r="A338" s="1463"/>
      <c r="B338" s="1471"/>
      <c r="C338" s="1477"/>
      <c r="D338" s="1478"/>
      <c r="E338" s="1479">
        <f>SUM(E334:E337)</f>
        <v>7.988713226418704E-4</v>
      </c>
      <c r="F338" s="1498"/>
      <c r="G338" s="1478"/>
      <c r="H338" s="1479">
        <f>SUM(H334:H337)</f>
        <v>1.9786273597655049E-4</v>
      </c>
      <c r="I338" s="1517"/>
      <c r="J338" s="1459"/>
      <c r="K338" s="1462"/>
      <c r="S338" s="931"/>
      <c r="U338" s="931"/>
    </row>
    <row r="339" spans="1:21">
      <c r="A339" s="1467" t="s">
        <v>347</v>
      </c>
      <c r="B339" s="1467" t="s">
        <v>172</v>
      </c>
      <c r="C339" s="1481">
        <f>C368-D368</f>
        <v>-5.2933094166032313E-2</v>
      </c>
      <c r="D339" s="1482"/>
      <c r="E339" s="1483"/>
      <c r="F339" s="1499">
        <f>E368-F368</f>
        <v>0.14499999999999996</v>
      </c>
      <c r="G339" s="1482"/>
      <c r="H339" s="1483"/>
      <c r="I339" s="1484"/>
      <c r="J339" s="1469"/>
      <c r="K339" s="1470"/>
      <c r="S339" s="931"/>
      <c r="U339" s="931"/>
    </row>
    <row r="340" spans="1:21">
      <c r="A340" s="464"/>
      <c r="B340" s="471" t="s">
        <v>364</v>
      </c>
      <c r="C340" s="1423">
        <f>C369-D369</f>
        <v>-0.1731544030719806</v>
      </c>
      <c r="D340" s="1432"/>
      <c r="E340" s="1434"/>
      <c r="F340" s="1500">
        <f>E369-F369</f>
        <v>0.34482758620689641</v>
      </c>
      <c r="G340" s="1432"/>
      <c r="H340" s="1434"/>
      <c r="I340" s="1423"/>
      <c r="J340" s="1432"/>
      <c r="K340" s="1434"/>
      <c r="S340" s="931"/>
      <c r="U340" s="931"/>
    </row>
    <row r="341" spans="1:21">
      <c r="A341" s="1471" t="s">
        <v>138</v>
      </c>
      <c r="B341" s="1471" t="s">
        <v>257</v>
      </c>
      <c r="C341" s="1469" t="str">
        <f>CONCATENATE(-(C360-D360)," cran(s)")</f>
        <v>0 cran(s)</v>
      </c>
      <c r="D341" s="1469"/>
      <c r="E341" s="1470"/>
      <c r="F341" s="1503" t="str">
        <f>CONCATENATE(-(E360-F360)," cran(s)")</f>
        <v>-1 cran(s)</v>
      </c>
      <c r="G341" s="1469"/>
      <c r="H341" s="1470"/>
      <c r="I341" s="1485"/>
      <c r="J341" s="1469"/>
      <c r="K341" s="1470"/>
      <c r="S341" s="931"/>
      <c r="U341" s="931"/>
    </row>
    <row r="342" spans="1:21">
      <c r="A342" s="1459" t="s">
        <v>14</v>
      </c>
      <c r="B342" s="1459" t="s">
        <v>15</v>
      </c>
      <c r="C342" s="1472">
        <f t="shared" ref="C342:C349" si="9">C371-D371</f>
        <v>0</v>
      </c>
      <c r="D342" s="1469">
        <f>D368</f>
        <v>0.4729330941660323</v>
      </c>
      <c r="E342" s="1497">
        <f>C342*D342</f>
        <v>0</v>
      </c>
      <c r="F342" s="1501">
        <f>E371-F371</f>
        <v>6.3238025477707072E-3</v>
      </c>
      <c r="G342" s="1469">
        <f>G351</f>
        <v>0.27500000000000002</v>
      </c>
      <c r="H342" s="1470">
        <f>F342*G342</f>
        <v>1.7390457006369446E-3</v>
      </c>
      <c r="I342" s="1472"/>
      <c r="J342" s="1469"/>
      <c r="K342" s="1470"/>
      <c r="S342" s="931"/>
      <c r="U342" s="931"/>
    </row>
    <row r="343" spans="1:21">
      <c r="A343" s="471" t="s">
        <v>318</v>
      </c>
      <c r="B343" s="471" t="s">
        <v>145</v>
      </c>
      <c r="C343" s="1422">
        <f t="shared" si="9"/>
        <v>0</v>
      </c>
      <c r="D343" s="1432">
        <f>D368</f>
        <v>0.4729330941660323</v>
      </c>
      <c r="E343" s="1434">
        <f>C343*D343</f>
        <v>0</v>
      </c>
      <c r="F343" s="1502">
        <f>C343</f>
        <v>0</v>
      </c>
      <c r="G343" s="1432">
        <f>G351</f>
        <v>0.27500000000000002</v>
      </c>
      <c r="H343" s="1434">
        <f>F343*G343</f>
        <v>0</v>
      </c>
      <c r="I343" s="1422"/>
      <c r="J343" s="1432"/>
      <c r="K343" s="1434"/>
      <c r="S343" s="931"/>
      <c r="U343" s="931"/>
    </row>
    <row r="344" spans="1:21">
      <c r="A344" s="1459" t="s">
        <v>346</v>
      </c>
      <c r="B344" s="1459" t="s">
        <v>389</v>
      </c>
      <c r="C344" s="1469">
        <f t="shared" si="9"/>
        <v>2.3711041748814301</v>
      </c>
      <c r="D344" s="459"/>
      <c r="E344" s="1470"/>
      <c r="F344" s="1503">
        <f t="shared" ref="F344:F349" si="10">E373-F373</f>
        <v>-4.4119402985074627</v>
      </c>
      <c r="G344" s="459"/>
      <c r="H344" s="1470"/>
      <c r="I344" s="1469"/>
      <c r="J344" s="1469"/>
      <c r="K344" s="1359"/>
      <c r="S344" s="931"/>
      <c r="U344" s="931"/>
    </row>
    <row r="345" spans="1:21">
      <c r="A345" s="891"/>
      <c r="B345" s="895" t="s">
        <v>5</v>
      </c>
      <c r="C345" s="1426">
        <f t="shared" si="9"/>
        <v>-0.53860059734276222</v>
      </c>
      <c r="D345" s="1514">
        <f>-D352*D361*D366</f>
        <v>-7.138632573211459E-3</v>
      </c>
      <c r="E345" s="1435">
        <f>C345*D345</f>
        <v>3.8448717681421915E-3</v>
      </c>
      <c r="F345" s="1504">
        <f t="shared" si="10"/>
        <v>0.27169117647058827</v>
      </c>
      <c r="G345" s="1514">
        <f>-G352*F361*F366</f>
        <v>-9.8194528214386768E-3</v>
      </c>
      <c r="H345" s="1435">
        <f>F345*G345</f>
        <v>-2.6678586893541115E-3</v>
      </c>
      <c r="I345" s="1663"/>
      <c r="J345" s="1664"/>
      <c r="K345" s="1665"/>
      <c r="S345" s="931"/>
      <c r="U345" s="931"/>
    </row>
    <row r="346" spans="1:21">
      <c r="A346" s="1471" t="s">
        <v>390</v>
      </c>
      <c r="B346" s="1471" t="s">
        <v>11</v>
      </c>
      <c r="C346" s="1486">
        <f t="shared" si="9"/>
        <v>0</v>
      </c>
      <c r="D346" s="1486">
        <f>D348*(1+(1-D361)*D369)</f>
        <v>6.8470891940890469E-2</v>
      </c>
      <c r="E346" s="1470">
        <f>C346*D346</f>
        <v>0</v>
      </c>
      <c r="F346" s="1505">
        <f t="shared" si="10"/>
        <v>0</v>
      </c>
      <c r="G346" s="1486">
        <f>G348*(1+(1-F361)*F369)</f>
        <v>7.3959777706198424E-2</v>
      </c>
      <c r="H346" s="1661">
        <f>F346*G346</f>
        <v>0</v>
      </c>
      <c r="I346" s="1486"/>
      <c r="J346" s="1469"/>
      <c r="K346" s="1359"/>
      <c r="S346" s="931"/>
      <c r="U346" s="931"/>
    </row>
    <row r="347" spans="1:21">
      <c r="A347" s="1459" t="s">
        <v>342</v>
      </c>
      <c r="B347" s="1459" t="s">
        <v>343</v>
      </c>
      <c r="C347" s="1486">
        <f t="shared" si="9"/>
        <v>0</v>
      </c>
      <c r="D347" s="1486">
        <f>-D348*(1-D361)*D369</f>
        <v>-2.54697130557777E-2</v>
      </c>
      <c r="E347" s="1470">
        <f>C347*D347</f>
        <v>0</v>
      </c>
      <c r="F347" s="1505">
        <f t="shared" si="10"/>
        <v>7.6810978767222399E-2</v>
      </c>
      <c r="G347" s="1486">
        <f>-G348*(1-F361)*F369</f>
        <v>-1.4810067590406177E-2</v>
      </c>
      <c r="H347" s="1470">
        <f>F347*G347</f>
        <v>-1.1375757872278175E-3</v>
      </c>
      <c r="I347" s="1526"/>
      <c r="J347" s="1455"/>
      <c r="K347" s="1456"/>
      <c r="S347" s="931"/>
      <c r="U347" s="931"/>
    </row>
    <row r="348" spans="1:21">
      <c r="A348" s="1471" t="s">
        <v>12</v>
      </c>
      <c r="B348" s="1471" t="s">
        <v>147</v>
      </c>
      <c r="C348" s="1486">
        <f t="shared" si="9"/>
        <v>-4.3260977247640886E-2</v>
      </c>
      <c r="D348" s="1486">
        <f>D352*D364</f>
        <v>4.3001178885112769E-2</v>
      </c>
      <c r="E348" s="1470">
        <f>C348*D348</f>
        <v>-1.8602730213705993E-3</v>
      </c>
      <c r="F348" s="1505">
        <f t="shared" si="10"/>
        <v>4.9435973095553365E-2</v>
      </c>
      <c r="G348" s="1486">
        <f>G352*F364</f>
        <v>5.9149710115792245E-2</v>
      </c>
      <c r="H348" s="1470">
        <f>F348*G348</f>
        <v>2.9241234778940861E-3</v>
      </c>
      <c r="I348" s="1486"/>
      <c r="J348" s="1469"/>
      <c r="K348" s="1359"/>
      <c r="S348" s="931"/>
      <c r="U348" s="931"/>
    </row>
    <row r="349" spans="1:21">
      <c r="A349" s="471" t="s">
        <v>179</v>
      </c>
      <c r="B349" s="893" t="s">
        <v>319</v>
      </c>
      <c r="C349" s="1428">
        <f t="shared" si="9"/>
        <v>0</v>
      </c>
      <c r="D349" s="1428">
        <f>D352*D365</f>
        <v>5.1127221582585869E-3</v>
      </c>
      <c r="E349" s="1434">
        <f>C349*D349</f>
        <v>0</v>
      </c>
      <c r="F349" s="1506">
        <f t="shared" si="10"/>
        <v>0</v>
      </c>
      <c r="G349" s="1428">
        <f>G352*F365</f>
        <v>7.0327382040281947E-3</v>
      </c>
      <c r="H349" s="1434">
        <f>F349*G349</f>
        <v>0</v>
      </c>
      <c r="I349" s="1428"/>
      <c r="J349" s="1432"/>
      <c r="K349" s="1359"/>
      <c r="S349" s="931"/>
      <c r="U349" s="931"/>
    </row>
    <row r="350" spans="1:21">
      <c r="A350" s="452"/>
      <c r="B350" s="452"/>
      <c r="C350" s="455"/>
      <c r="D350" s="1433"/>
      <c r="E350" s="1436"/>
      <c r="F350" s="1507"/>
      <c r="G350" s="1508"/>
      <c r="H350" s="1542"/>
      <c r="I350" s="1421"/>
      <c r="J350" s="1508"/>
      <c r="K350" s="1542"/>
      <c r="S350" s="931"/>
      <c r="U350" s="931"/>
    </row>
    <row r="351" spans="1:21">
      <c r="A351" s="1467" t="s">
        <v>314</v>
      </c>
      <c r="B351" s="1487" t="s">
        <v>258</v>
      </c>
      <c r="C351" s="1468">
        <f>C380-D380</f>
        <v>0</v>
      </c>
      <c r="D351" s="1482">
        <f>D368</f>
        <v>0.4729330941660323</v>
      </c>
      <c r="E351" s="1483">
        <f>C351*D351</f>
        <v>0</v>
      </c>
      <c r="F351" s="1509">
        <f>E380-F380</f>
        <v>6.3238025477707072E-3</v>
      </c>
      <c r="G351" s="1482">
        <f>F368</f>
        <v>0.27500000000000002</v>
      </c>
      <c r="H351" s="1483">
        <f>F351*G351</f>
        <v>1.7390457006369446E-3</v>
      </c>
      <c r="I351" s="1472"/>
      <c r="J351" s="1469"/>
      <c r="K351" s="1359"/>
      <c r="S351" s="931"/>
      <c r="U351" s="931"/>
    </row>
    <row r="352" spans="1:21">
      <c r="A352" s="1488" t="s">
        <v>313</v>
      </c>
      <c r="B352" s="1489" t="s">
        <v>320</v>
      </c>
      <c r="C352" s="1490">
        <f>C381-D381</f>
        <v>-2.329810898416676E-3</v>
      </c>
      <c r="D352" s="1491">
        <f>(1-D368)/(1-D361)</f>
        <v>0.79846524137852992</v>
      </c>
      <c r="E352" s="1475">
        <f>C352*D352</f>
        <v>-1.8602730213706008E-3</v>
      </c>
      <c r="F352" s="1510">
        <f>E381-F381</f>
        <v>2.6623640107005242E-3</v>
      </c>
      <c r="G352" s="1491">
        <f>(1-F368)/(1-F361)</f>
        <v>1.098318436600515</v>
      </c>
      <c r="H352" s="1475">
        <f>F352*G352</f>
        <v>2.9241234778940766E-3</v>
      </c>
      <c r="I352" s="1472"/>
      <c r="J352" s="1469"/>
      <c r="K352" s="1359"/>
      <c r="S352" s="931"/>
      <c r="U352" s="931"/>
    </row>
    <row r="353" spans="1:28">
      <c r="A353" s="1492" t="s">
        <v>321</v>
      </c>
      <c r="B353" s="1493" t="s">
        <v>259</v>
      </c>
      <c r="C353" s="1468">
        <f>C382-D382</f>
        <v>1.6792839475487653E-3</v>
      </c>
      <c r="D353" s="1482"/>
      <c r="E353" s="1483"/>
      <c r="F353" s="1509">
        <f>E382-F382</f>
        <v>-3.6814658240296588E-3</v>
      </c>
      <c r="G353" s="1482"/>
      <c r="H353" s="1483"/>
      <c r="I353" s="1472"/>
      <c r="J353" s="1469"/>
      <c r="K353" s="1470"/>
      <c r="S353" s="931"/>
      <c r="U353" s="931"/>
    </row>
    <row r="354" spans="1:28">
      <c r="A354" s="1473" t="s">
        <v>393</v>
      </c>
      <c r="B354" s="1473" t="s">
        <v>515</v>
      </c>
      <c r="C354" s="1494">
        <f>C383-D383</f>
        <v>-4.2984766819494022E-3</v>
      </c>
      <c r="D354" s="1595">
        <v>-1</v>
      </c>
      <c r="E354" s="1475">
        <f>C354*D354</f>
        <v>4.2984766819494022E-3</v>
      </c>
      <c r="F354" s="1511">
        <f>E383-F383</f>
        <v>1.3071607281516281E-3</v>
      </c>
      <c r="G354" s="1595">
        <v>-1</v>
      </c>
      <c r="H354" s="1475">
        <f>F354*G354</f>
        <v>-1.3071607281516281E-3</v>
      </c>
      <c r="I354" s="1472"/>
      <c r="J354" s="1469"/>
      <c r="K354" s="1470"/>
      <c r="S354" s="931"/>
      <c r="U354" s="931"/>
    </row>
    <row r="355" spans="1:28">
      <c r="A355" s="1529" t="s">
        <v>518</v>
      </c>
      <c r="B355" s="1530"/>
      <c r="C355" s="1534">
        <f>C339</f>
        <v>-5.2933094166032313E-2</v>
      </c>
      <c r="D355" s="1533">
        <f>-1/(1-D361)*D381+D380</f>
        <v>-7.0397988575530479E-2</v>
      </c>
      <c r="E355" s="1479">
        <f>C355*D355</f>
        <v>3.7263833583678217E-3</v>
      </c>
      <c r="F355" s="1535">
        <f>F339</f>
        <v>0.14499999999999996</v>
      </c>
      <c r="G355" s="1533">
        <f>-1/(1-F361)*F381+F380</f>
        <v>-5.9839735699369782E-2</v>
      </c>
      <c r="H355" s="1479">
        <f>F355*G355</f>
        <v>-8.6767616764086165E-3</v>
      </c>
      <c r="I355" s="1484"/>
      <c r="J355" s="1469"/>
      <c r="K355" s="1470"/>
      <c r="S355" s="931"/>
      <c r="U355" s="931"/>
    </row>
    <row r="356" spans="1:28">
      <c r="A356" s="1463"/>
      <c r="B356" s="1589"/>
      <c r="C356" s="1581"/>
      <c r="D356" s="1581"/>
      <c r="E356" s="1581"/>
      <c r="F356" s="1581"/>
      <c r="G356" s="1581"/>
      <c r="H356" s="1581"/>
      <c r="I356" s="1581"/>
      <c r="J356" s="1581"/>
      <c r="K356" s="1581"/>
      <c r="S356" s="931"/>
      <c r="U356" s="931"/>
    </row>
    <row r="357" spans="1:28">
      <c r="A357" s="1471"/>
      <c r="B357" s="1590"/>
      <c r="C357" s="1577"/>
      <c r="D357" s="1577"/>
      <c r="E357" s="1577"/>
      <c r="F357" s="1577"/>
      <c r="G357" s="1577"/>
      <c r="H357" s="1577"/>
      <c r="I357" s="1577"/>
      <c r="J357" s="1577"/>
      <c r="K357" s="1577"/>
      <c r="S357" s="931"/>
      <c r="U357" s="931"/>
    </row>
    <row r="358" spans="1:28">
      <c r="A358" s="1438" t="s">
        <v>601</v>
      </c>
      <c r="B358" s="1464"/>
      <c r="C358" s="1461" t="s">
        <v>534</v>
      </c>
      <c r="D358" s="1464"/>
      <c r="E358" s="1464"/>
      <c r="F358" s="1464"/>
      <c r="G358" s="1464"/>
      <c r="H358" s="1464"/>
      <c r="I358" s="1464"/>
      <c r="J358" s="1464"/>
      <c r="K358" s="1464"/>
      <c r="S358" s="931"/>
      <c r="U358" s="931"/>
    </row>
    <row r="359" spans="1:28" s="1364" customFormat="1">
      <c r="A359" s="1531"/>
      <c r="B359" s="1531"/>
      <c r="C359" s="1460"/>
      <c r="D359" s="1461"/>
      <c r="E359" s="1572"/>
      <c r="F359" s="1460"/>
      <c r="G359" s="1460"/>
      <c r="H359" s="1531"/>
      <c r="I359" s="1531"/>
      <c r="J359" s="1531"/>
      <c r="K359" s="1531"/>
      <c r="L359" s="1361"/>
      <c r="R359" s="1362"/>
      <c r="T359" s="1362"/>
      <c r="V359" s="1362"/>
      <c r="W359" s="1362"/>
      <c r="X359" s="1362"/>
      <c r="Y359" s="1362"/>
      <c r="Z359" s="1362"/>
      <c r="AA359" s="1362"/>
      <c r="AB359" s="1362"/>
    </row>
    <row r="360" spans="1:28">
      <c r="A360" s="1573" t="s">
        <v>388</v>
      </c>
      <c r="B360" s="1568" t="s">
        <v>257</v>
      </c>
      <c r="C360" s="1569">
        <f>VLOOKUP(C370,'FINAL BIPT &amp; Cullen 2014'!$C$102:$D$112,2,FALSE)</f>
        <v>4</v>
      </c>
      <c r="D360" s="1569">
        <f>VLOOKUP(D370,'FINAL BIPT &amp; Cullen 2014'!$C$102:$D$112,2,FALSE)</f>
        <v>4</v>
      </c>
      <c r="E360" s="1569">
        <f>VLOOKUP(E370,'FINAL BIPT &amp; Cullen 2014'!$C$102:$D$112,2,FALSE)</f>
        <v>5</v>
      </c>
      <c r="F360" s="1569">
        <f>VLOOKUP(F370,'FINAL BIPT &amp; Cullen 2014'!$C$102:$D$112,2,FALSE)</f>
        <v>4</v>
      </c>
      <c r="G360" s="1513"/>
      <c r="H360" s="1513"/>
      <c r="I360" s="1641"/>
      <c r="J360" s="1421"/>
      <c r="K360" s="1421"/>
      <c r="L360" s="1370"/>
      <c r="S360" s="931"/>
      <c r="U360" s="931"/>
    </row>
    <row r="361" spans="1:28">
      <c r="A361" s="468" t="s">
        <v>312</v>
      </c>
      <c r="B361" s="468" t="s">
        <v>10</v>
      </c>
      <c r="C361" s="440">
        <f>'FINAL BIPT &amp; Cullen 2014'!$J$7</f>
        <v>0.33989999999999998</v>
      </c>
      <c r="D361" s="444">
        <f>'Vs. Consultation Version '!J7</f>
        <v>0.33989999999999998</v>
      </c>
      <c r="E361" s="444">
        <f>'FINAL BIPT &amp; Cullen 2014'!$P$7</f>
        <v>0.33989999999999998</v>
      </c>
      <c r="F361" s="444">
        <f>'Vs. Consultation Version '!P7</f>
        <v>0.33989999999999998</v>
      </c>
      <c r="G361" s="1637"/>
      <c r="H361" s="1637"/>
      <c r="I361" s="1637"/>
      <c r="J361" s="1421"/>
      <c r="K361" s="1421"/>
      <c r="L361" s="1370"/>
      <c r="S361" s="931"/>
      <c r="U361" s="931"/>
    </row>
    <row r="362" spans="1:28">
      <c r="A362" s="469" t="s">
        <v>317</v>
      </c>
      <c r="B362" s="469"/>
      <c r="C362" s="470" t="str">
        <f>'FINAL BIPT &amp; Cullen 2014'!$J$2</f>
        <v>10Y</v>
      </c>
      <c r="D362" s="471" t="str">
        <f>'Vs. Consultation Version '!J2</f>
        <v>10Y</v>
      </c>
      <c r="E362" s="472" t="str">
        <f>'FINAL BIPT &amp; Cullen 2014'!$P$2</f>
        <v>10Y</v>
      </c>
      <c r="F362" s="471" t="str">
        <f>'Vs. Consultation Version '!P2</f>
        <v>10Y</v>
      </c>
      <c r="G362" s="1635"/>
      <c r="H362" s="1636"/>
      <c r="I362" s="1635"/>
      <c r="J362" s="1421"/>
      <c r="K362" s="1421"/>
      <c r="L362" s="1370"/>
      <c r="S362" s="931"/>
      <c r="U362" s="931"/>
    </row>
    <row r="363" spans="1:28">
      <c r="A363" s="1471" t="s">
        <v>7</v>
      </c>
      <c r="B363" s="1471" t="s">
        <v>0</v>
      </c>
      <c r="C363" s="1520">
        <f>'FINAL BIPT &amp; Cullen 2014'!$J$3</f>
        <v>2.6303155319238606E-2</v>
      </c>
      <c r="D363" s="441">
        <f>'Vs. Consultation Version '!J3</f>
        <v>2.6303155319238606E-2</v>
      </c>
      <c r="E363" s="443">
        <f>'FINAL BIPT &amp; Cullen 2014'!$P$3</f>
        <v>2.6303155319238606E-2</v>
      </c>
      <c r="F363" s="441">
        <f>'Vs. Consultation Version '!P3</f>
        <v>2.6303155319238606E-2</v>
      </c>
      <c r="G363" s="1637"/>
      <c r="H363" s="1637"/>
      <c r="I363" s="1637"/>
      <c r="J363" s="1421"/>
      <c r="K363" s="1421"/>
      <c r="L363" s="1370"/>
      <c r="S363" s="931"/>
      <c r="U363" s="931"/>
    </row>
    <row r="364" spans="1:28">
      <c r="A364" s="1471" t="s">
        <v>8</v>
      </c>
      <c r="B364" s="1471" t="s">
        <v>132</v>
      </c>
      <c r="C364" s="1520">
        <f>'FINAL BIPT &amp; Cullen 2014'!$J$5</f>
        <v>5.3854791237840642E-2</v>
      </c>
      <c r="D364" s="441">
        <f>'Vs. Consultation Version '!J5</f>
        <v>5.3854791237840642E-2</v>
      </c>
      <c r="E364" s="443">
        <f>'FINAL BIPT &amp; Cullen 2014'!$P$5</f>
        <v>5.3854791237840642E-2</v>
      </c>
      <c r="F364" s="441">
        <f>'Vs. Consultation Version '!P5</f>
        <v>5.3854791237840642E-2</v>
      </c>
      <c r="G364" s="1637"/>
      <c r="H364" s="1637"/>
      <c r="I364" s="1637"/>
      <c r="J364" s="1421"/>
      <c r="K364" s="1421"/>
      <c r="L364" s="1370"/>
      <c r="S364" s="931"/>
      <c r="U364" s="931"/>
    </row>
    <row r="365" spans="1:28">
      <c r="A365" s="1471" t="s">
        <v>316</v>
      </c>
      <c r="B365" s="1471" t="s">
        <v>134</v>
      </c>
      <c r="C365" s="1520">
        <f>'FINAL BIPT &amp; Cullen 2014'!$J$4</f>
        <v>6.4031868806607058E-3</v>
      </c>
      <c r="D365" s="441">
        <f>'Vs. Consultation Version '!J4</f>
        <v>6.4031868806607058E-3</v>
      </c>
      <c r="E365" s="443">
        <f>'FINAL BIPT &amp; Cullen 2014'!$P$4</f>
        <v>6.4031868806607058E-3</v>
      </c>
      <c r="F365" s="441">
        <f>'Vs. Consultation Version '!P4</f>
        <v>6.4031868806607058E-3</v>
      </c>
      <c r="G365" s="1637"/>
      <c r="H365" s="1637"/>
      <c r="I365" s="1637"/>
      <c r="J365" s="1421"/>
      <c r="K365" s="1421"/>
      <c r="L365" s="1370"/>
      <c r="S365" s="931"/>
      <c r="U365" s="931"/>
    </row>
    <row r="366" spans="1:28">
      <c r="A366" s="1473" t="s">
        <v>382</v>
      </c>
      <c r="B366" s="1473" t="s">
        <v>4</v>
      </c>
      <c r="C366" s="1520">
        <f>'FINAL BIPT &amp; Cullen 2014'!$J$31</f>
        <v>2.2699083104395609E-2</v>
      </c>
      <c r="D366" s="441">
        <f>'Vs. Consultation Version '!J3</f>
        <v>2.6303155319238606E-2</v>
      </c>
      <c r="E366" s="443">
        <f>'FINAL BIPT &amp; Cullen 2014'!$P$31</f>
        <v>2.2699083104395609E-2</v>
      </c>
      <c r="F366" s="441">
        <f>'Vs. Consultation Version '!P3</f>
        <v>2.6303155319238606E-2</v>
      </c>
      <c r="G366" s="1637"/>
      <c r="H366" s="1637"/>
      <c r="I366" s="1637"/>
      <c r="J366" s="1421"/>
      <c r="K366" s="1421"/>
      <c r="L366" s="1370"/>
      <c r="S366" s="931"/>
      <c r="U366" s="931"/>
    </row>
    <row r="367" spans="1:28">
      <c r="A367" s="1573" t="s">
        <v>391</v>
      </c>
      <c r="B367" s="1471"/>
      <c r="C367" s="1574" t="s">
        <v>311</v>
      </c>
      <c r="D367" s="1256" t="s">
        <v>530</v>
      </c>
      <c r="E367" s="1574" t="s">
        <v>76</v>
      </c>
      <c r="F367" s="1256" t="s">
        <v>530</v>
      </c>
      <c r="G367" s="1452"/>
      <c r="H367" s="531"/>
      <c r="I367" s="1452"/>
      <c r="J367" s="1421"/>
      <c r="K367" s="1421"/>
      <c r="L367" s="1370"/>
      <c r="S367" s="931"/>
      <c r="U367" s="931"/>
    </row>
    <row r="368" spans="1:28">
      <c r="A368" s="1467" t="s">
        <v>347</v>
      </c>
      <c r="B368" s="1467" t="s">
        <v>172</v>
      </c>
      <c r="C368" s="1575">
        <f>'FINAL BIPT &amp; Cullen 2014'!$J$11</f>
        <v>0.42</v>
      </c>
      <c r="D368" s="1257">
        <f>'Vs. Consultation Version '!J11</f>
        <v>0.4729330941660323</v>
      </c>
      <c r="E368" s="1575">
        <f>'FINAL BIPT &amp; Cullen 2014'!$P$11</f>
        <v>0.42</v>
      </c>
      <c r="F368" s="1257">
        <f>'Vs. Consultation Version '!P11</f>
        <v>0.27500000000000002</v>
      </c>
      <c r="G368" s="1458"/>
      <c r="H368" s="1360"/>
      <c r="I368" s="1458"/>
      <c r="J368" s="1421"/>
      <c r="K368" s="1421"/>
      <c r="L368" s="1370"/>
      <c r="S368" s="931"/>
      <c r="U368" s="931"/>
    </row>
    <row r="369" spans="1:21">
      <c r="A369" s="1471"/>
      <c r="B369" s="1471" t="s">
        <v>364</v>
      </c>
      <c r="C369" s="1576">
        <f>C368/(1-C368)</f>
        <v>0.72413793103448265</v>
      </c>
      <c r="D369" s="1258">
        <f>D368/(1-D368)</f>
        <v>0.89729233410646325</v>
      </c>
      <c r="E369" s="1576">
        <f>E368/(1-E368)</f>
        <v>0.72413793103448265</v>
      </c>
      <c r="F369" s="1258">
        <f>F368/(1-F368)</f>
        <v>0.37931034482758624</v>
      </c>
      <c r="G369" s="1638"/>
      <c r="H369" s="1639"/>
      <c r="I369" s="1638"/>
      <c r="J369" s="1421"/>
      <c r="K369" s="1421"/>
      <c r="L369" s="1370"/>
      <c r="S369" s="931"/>
      <c r="U369" s="931"/>
    </row>
    <row r="370" spans="1:21">
      <c r="A370" s="1471" t="s">
        <v>138</v>
      </c>
      <c r="B370" s="1471"/>
      <c r="C370" s="1586" t="str">
        <f>'FINAL BIPT &amp; Cullen 2014'!$J$14</f>
        <v>BBB</v>
      </c>
      <c r="D370" s="1259" t="str">
        <f>'Vs. Consultation Version '!J14</f>
        <v>BBB</v>
      </c>
      <c r="E370" s="1577" t="str">
        <f>'FINAL BIPT &amp; Cullen 2014'!$P$14</f>
        <v>BBB-</v>
      </c>
      <c r="F370" s="1259" t="str">
        <f>'Vs. Consultation Version '!P14</f>
        <v>BBB</v>
      </c>
      <c r="G370" s="1457"/>
      <c r="H370" s="1360"/>
      <c r="I370" s="1457"/>
      <c r="J370" s="1421"/>
      <c r="K370" s="1421"/>
      <c r="L370" s="1370"/>
      <c r="S370" s="931"/>
      <c r="U370" s="931"/>
    </row>
    <row r="371" spans="1:21">
      <c r="A371" s="1459" t="s">
        <v>14</v>
      </c>
      <c r="B371" s="1459" t="s">
        <v>15</v>
      </c>
      <c r="C371" s="1520">
        <f>C380-C372-C363</f>
        <v>1.664773248407642E-2</v>
      </c>
      <c r="D371" s="1259">
        <f>D380-D372-D363</f>
        <v>1.664773248407642E-2</v>
      </c>
      <c r="E371" s="1520">
        <f>E380-E372-E363</f>
        <v>2.2971535031847127E-2</v>
      </c>
      <c r="F371" s="1259">
        <f>F380-F372-F363</f>
        <v>1.664773248407642E-2</v>
      </c>
      <c r="G371" s="1457"/>
      <c r="H371" s="1373"/>
      <c r="I371" s="1457"/>
      <c r="J371" s="1421"/>
      <c r="K371" s="1421"/>
      <c r="L371" s="1370"/>
      <c r="S371" s="931"/>
      <c r="U371" s="931"/>
    </row>
    <row r="372" spans="1:21">
      <c r="A372" s="1471" t="s">
        <v>318</v>
      </c>
      <c r="B372" s="1471" t="s">
        <v>145</v>
      </c>
      <c r="C372" s="1520">
        <f>'FINAL BIPT &amp; Cullen 2014'!$J$16</f>
        <v>1.5E-3</v>
      </c>
      <c r="D372" s="1260">
        <f>'Vs. Consultation Version '!J16</f>
        <v>1.5E-3</v>
      </c>
      <c r="E372" s="1520">
        <f>'FINAL BIPT &amp; Cullen 2014'!$P$16</f>
        <v>1.5E-3</v>
      </c>
      <c r="F372" s="1260">
        <f>'Vs. Consultation Version '!P16</f>
        <v>1.5E-3</v>
      </c>
      <c r="G372" s="1637"/>
      <c r="H372" s="1637"/>
      <c r="I372" s="1637"/>
      <c r="J372" s="1421"/>
      <c r="K372" s="1421"/>
      <c r="L372" s="1370"/>
      <c r="S372" s="931"/>
      <c r="U372" s="931"/>
    </row>
    <row r="373" spans="1:21">
      <c r="A373" s="1459" t="s">
        <v>346</v>
      </c>
      <c r="B373" s="1459" t="s">
        <v>389</v>
      </c>
      <c r="C373" s="1578">
        <f>'FINAL BIPT &amp; Cullen 2014'!$J$35</f>
        <v>3.5955056179775271</v>
      </c>
      <c r="D373" s="1261">
        <f>'Vs. Consultation Version '!J35</f>
        <v>1.224401443096097</v>
      </c>
      <c r="E373" s="1578">
        <f>'FINAL BIPT &amp; Cullen 2014'!$P$35</f>
        <v>2.3880597014925371</v>
      </c>
      <c r="F373" s="1261">
        <f>'Vs. Consultation Version '!P35</f>
        <v>6.8</v>
      </c>
      <c r="G373" s="1455"/>
      <c r="H373" s="1425"/>
      <c r="I373" s="1455"/>
      <c r="J373" s="1421"/>
      <c r="K373" s="1421"/>
      <c r="L373" s="1370"/>
      <c r="S373" s="931"/>
      <c r="U373" s="931"/>
    </row>
    <row r="374" spans="1:21">
      <c r="A374" s="1463"/>
      <c r="B374" s="1459" t="s">
        <v>5</v>
      </c>
      <c r="C374" s="1579">
        <f>1/C373</f>
        <v>0.27812500000000007</v>
      </c>
      <c r="D374" s="1262">
        <f>1/D373</f>
        <v>0.81672559734276229</v>
      </c>
      <c r="E374" s="1579">
        <f>1/E373</f>
        <v>0.41875000000000001</v>
      </c>
      <c r="F374" s="1262">
        <f>1/F373</f>
        <v>0.14705882352941177</v>
      </c>
      <c r="G374" s="1638"/>
      <c r="H374" s="1639"/>
      <c r="I374" s="1638"/>
      <c r="J374" s="1421"/>
      <c r="K374" s="1421"/>
      <c r="L374" s="1383"/>
      <c r="S374" s="931"/>
      <c r="U374" s="931"/>
    </row>
    <row r="375" spans="1:21">
      <c r="A375" s="1492" t="s">
        <v>390</v>
      </c>
      <c r="B375" s="1492" t="s">
        <v>11</v>
      </c>
      <c r="C375" s="1580">
        <f>'FINAL BIPT &amp; Cullen 2014'!$J$20</f>
        <v>0.6</v>
      </c>
      <c r="D375" s="1263">
        <f>'Vs. Consultation Version '!J20</f>
        <v>0.6</v>
      </c>
      <c r="E375" s="1580">
        <f>'FINAL BIPT &amp; Cullen 2014'!$P$20</f>
        <v>0.6</v>
      </c>
      <c r="F375" s="1263">
        <f>'Vs. Consultation Version '!P20</f>
        <v>0.6</v>
      </c>
      <c r="G375" s="1526"/>
      <c r="H375" s="1427"/>
      <c r="I375" s="1526"/>
      <c r="J375" s="1421"/>
      <c r="K375" s="1421"/>
      <c r="L375" s="1370"/>
      <c r="S375" s="931"/>
      <c r="U375" s="931"/>
    </row>
    <row r="376" spans="1:21">
      <c r="A376" s="1459" t="s">
        <v>342</v>
      </c>
      <c r="B376" s="1459" t="s">
        <v>343</v>
      </c>
      <c r="C376" s="1581">
        <f>'FINAL BIPT &amp; Cullen 2014'!$J$22</f>
        <v>0.22151118186029947</v>
      </c>
      <c r="D376" s="1264">
        <f>'Vs. Consultation Version '!J22</f>
        <v>0.22151118186029947</v>
      </c>
      <c r="E376" s="1581">
        <f>'FINAL BIPT &amp; Cullen 2014'!$P$22</f>
        <v>0.29832216062752187</v>
      </c>
      <c r="F376" s="1264">
        <f>'Vs. Consultation Version '!P22</f>
        <v>0.22151118186029947</v>
      </c>
      <c r="G376" s="1526"/>
      <c r="H376" s="1427"/>
      <c r="I376" s="1526"/>
      <c r="J376" s="1421"/>
      <c r="K376" s="1421"/>
      <c r="L376" s="1370"/>
      <c r="S376" s="931"/>
      <c r="U376" s="931"/>
    </row>
    <row r="377" spans="1:21">
      <c r="A377" s="1471" t="s">
        <v>12</v>
      </c>
      <c r="B377" s="1471" t="s">
        <v>147</v>
      </c>
      <c r="C377" s="1581">
        <f>'FINAL BIPT &amp; Cullen 2014'!$J$23</f>
        <v>0.78091896020463247</v>
      </c>
      <c r="D377" s="1264">
        <f>'Vs. Consultation Version '!J23</f>
        <v>0.82417993745227336</v>
      </c>
      <c r="E377" s="1581">
        <f>'FINAL BIPT &amp; Cullen 2014'!$P$23</f>
        <v>0.74420304748845612</v>
      </c>
      <c r="F377" s="1264">
        <f>'Vs. Consultation Version '!P23</f>
        <v>0.69476707439290275</v>
      </c>
      <c r="G377" s="1526"/>
      <c r="H377" s="1427"/>
      <c r="I377" s="1526"/>
      <c r="J377" s="1421"/>
      <c r="K377" s="1421"/>
      <c r="L377" s="1370"/>
      <c r="S377" s="931"/>
      <c r="U377" s="931"/>
    </row>
    <row r="378" spans="1:21">
      <c r="A378" s="1471" t="s">
        <v>179</v>
      </c>
      <c r="B378" s="1587" t="s">
        <v>319</v>
      </c>
      <c r="C378" s="1581">
        <f>'FINAL BIPT &amp; Cullen 2014'!$J$24</f>
        <v>0.8</v>
      </c>
      <c r="D378" s="1264">
        <f>'Vs. Consultation Version '!J24</f>
        <v>0.8</v>
      </c>
      <c r="E378" s="1581">
        <f>'FINAL BIPT &amp; Cullen 2014'!$P$24</f>
        <v>0.8</v>
      </c>
      <c r="F378" s="1264">
        <f>'Vs. Consultation Version '!P24</f>
        <v>0.8</v>
      </c>
      <c r="G378" s="1629"/>
      <c r="H378" s="1427"/>
      <c r="I378" s="1629"/>
      <c r="J378" s="1421"/>
      <c r="K378" s="1421"/>
      <c r="L378" s="1370"/>
      <c r="S378" s="931"/>
      <c r="U378" s="931"/>
    </row>
    <row r="379" spans="1:21">
      <c r="A379" s="1573" t="s">
        <v>551</v>
      </c>
      <c r="B379" s="1587"/>
      <c r="C379" s="1581"/>
      <c r="D379" s="1264"/>
      <c r="E379" s="1581"/>
      <c r="F379" s="1264"/>
      <c r="G379" s="1526"/>
      <c r="H379" s="1427"/>
      <c r="I379" s="1526"/>
      <c r="J379" s="1421"/>
      <c r="K379" s="1421"/>
      <c r="L379" s="1370"/>
      <c r="S379" s="931"/>
      <c r="U379" s="931"/>
    </row>
    <row r="380" spans="1:21">
      <c r="A380" s="1467" t="s">
        <v>314</v>
      </c>
      <c r="B380" s="1467" t="s">
        <v>258</v>
      </c>
      <c r="C380" s="1582">
        <f>'FINAL BIPT &amp; Cullen 2014'!$J$17</f>
        <v>4.4450887803315027E-2</v>
      </c>
      <c r="D380" s="1567">
        <f>'Vs. Consultation Version '!J17</f>
        <v>4.4450887803315027E-2</v>
      </c>
      <c r="E380" s="1582">
        <f>'FINAL BIPT &amp; Cullen 2014'!$P$17</f>
        <v>5.0774690351085734E-2</v>
      </c>
      <c r="F380" s="1567">
        <f>'Vs. Consultation Version '!P17</f>
        <v>4.4450887803315027E-2</v>
      </c>
      <c r="G380" s="1642"/>
      <c r="H380" s="1373"/>
      <c r="I380" s="1642"/>
      <c r="J380" s="1421"/>
      <c r="K380" s="1421"/>
      <c r="L380" s="1370"/>
      <c r="S380" s="931"/>
      <c r="U380" s="931"/>
    </row>
    <row r="381" spans="1:21">
      <c r="A381" s="1471" t="s">
        <v>313</v>
      </c>
      <c r="B381" s="1471" t="s">
        <v>320</v>
      </c>
      <c r="C381" s="1583">
        <f>'FINAL BIPT &amp; Cullen 2014'!$J$25</f>
        <v>7.3481932399259237E-2</v>
      </c>
      <c r="D381" s="1266">
        <f>'Vs. Consultation Version '!J25</f>
        <v>7.5811743297675913E-2</v>
      </c>
      <c r="E381" s="1583">
        <f>'FINAL BIPT &amp; Cullen 2014'!$P$25</f>
        <v>7.1504604584822773E-2</v>
      </c>
      <c r="F381" s="1266">
        <f>'Vs. Consultation Version '!P25</f>
        <v>6.8842240574122249E-2</v>
      </c>
      <c r="G381" s="1640"/>
      <c r="H381" s="1373"/>
      <c r="I381" s="1640"/>
      <c r="J381" s="1421"/>
      <c r="K381" s="1421"/>
      <c r="L381" s="1370"/>
      <c r="S381" s="931"/>
      <c r="U381" s="931"/>
    </row>
    <row r="382" spans="1:21">
      <c r="A382" s="1492" t="s">
        <v>321</v>
      </c>
      <c r="B382" s="1492" t="s">
        <v>259</v>
      </c>
      <c r="C382" s="1584">
        <f>'FINAL BIPT &amp; Cullen 2014'!$J$28</f>
        <v>8.3234621766303626E-2</v>
      </c>
      <c r="D382" s="1267">
        <f>'Vs. Consultation Version '!J28</f>
        <v>8.1555337818754861E-2</v>
      </c>
      <c r="E382" s="1584">
        <f>'FINAL BIPT &amp; Cullen 2014'!$P$28</f>
        <v>8.4153230361328463E-2</v>
      </c>
      <c r="F382" s="1267">
        <f>'Vs. Consultation Version '!P28</f>
        <v>8.7834696185358122E-2</v>
      </c>
      <c r="G382" s="1640"/>
      <c r="H382" s="1373"/>
      <c r="I382" s="1640"/>
      <c r="J382" s="1421"/>
      <c r="K382" s="1421"/>
      <c r="S382" s="931"/>
      <c r="U382" s="931"/>
    </row>
    <row r="383" spans="1:21">
      <c r="A383" s="1471" t="s">
        <v>393</v>
      </c>
      <c r="B383" s="1471" t="s">
        <v>515</v>
      </c>
      <c r="C383" s="1520">
        <f>'FINAL BIPT &amp; Cullen 2014'!$J$36</f>
        <v>1.8854619332375855E-3</v>
      </c>
      <c r="D383" s="1268">
        <f>'Vs. Consultation Version '!J36</f>
        <v>6.1839386151869872E-3</v>
      </c>
      <c r="E383" s="1520">
        <f>'FINAL BIPT &amp; Cullen 2014'!$P$36</f>
        <v>2.8387853826273754E-3</v>
      </c>
      <c r="F383" s="1268">
        <f>'Vs. Consultation Version '!P36</f>
        <v>1.5316246544757473E-3</v>
      </c>
      <c r="G383" s="1640"/>
      <c r="H383" s="1373"/>
      <c r="I383" s="1640"/>
      <c r="J383" s="1421"/>
      <c r="K383" s="1421"/>
      <c r="S383" s="931"/>
      <c r="U383" s="931"/>
    </row>
    <row r="384" spans="1:21">
      <c r="A384" s="1471" t="s">
        <v>548</v>
      </c>
      <c r="B384" s="1471" t="s">
        <v>281</v>
      </c>
      <c r="C384" s="1583">
        <f>'FINAL BIPT &amp; Cullen 2014'!$J$38</f>
        <v>8.1349159833066037E-2</v>
      </c>
      <c r="D384" s="1266">
        <f>'Vs. Consultation Version '!J38</f>
        <v>7.5371399203567876E-2</v>
      </c>
      <c r="E384" s="1583">
        <f>'FINAL BIPT &amp; Cullen 2014'!$P$38</f>
        <v>8.1314444978701092E-2</v>
      </c>
      <c r="F384" s="1266">
        <f>'Vs. Consultation Version '!P38</f>
        <v>8.6303071530882375E-2</v>
      </c>
      <c r="G384" s="1640"/>
      <c r="H384" s="1373"/>
      <c r="I384" s="1640"/>
      <c r="J384" s="1421"/>
      <c r="K384" s="1421"/>
      <c r="S384" s="931"/>
      <c r="U384" s="931"/>
    </row>
    <row r="385" spans="1:21">
      <c r="A385" s="1588" t="s">
        <v>549</v>
      </c>
      <c r="B385" s="1588"/>
      <c r="C385" s="1585">
        <f>C384-D384</f>
        <v>5.9777606294981606E-3</v>
      </c>
      <c r="D385" s="1275"/>
      <c r="E385" s="1585">
        <f>E384-F384</f>
        <v>-4.9886265521812828E-3</v>
      </c>
      <c r="F385" s="1275"/>
      <c r="G385" s="1643"/>
      <c r="H385" s="1644"/>
      <c r="I385" s="1643"/>
      <c r="J385" s="1421"/>
      <c r="K385" s="1421"/>
      <c r="S385" s="931"/>
      <c r="U385" s="931"/>
    </row>
    <row r="386" spans="1:21">
      <c r="A386" s="455"/>
      <c r="B386" s="455"/>
      <c r="C386" s="455"/>
      <c r="D386" s="455"/>
      <c r="E386" s="455"/>
      <c r="F386" s="455"/>
      <c r="G386" s="455"/>
      <c r="H386" s="455"/>
      <c r="I386" s="455"/>
      <c r="J386" s="455"/>
      <c r="K386" s="455"/>
      <c r="S386" s="931"/>
      <c r="U386" s="931"/>
    </row>
    <row r="387" spans="1:21">
      <c r="S387" s="931"/>
      <c r="U387" s="931"/>
    </row>
  </sheetData>
  <mergeCells count="24">
    <mergeCell ref="A331:B332"/>
    <mergeCell ref="I284:K288"/>
    <mergeCell ref="A285:B285"/>
    <mergeCell ref="A286:B286"/>
    <mergeCell ref="A289:B289"/>
    <mergeCell ref="A290:B290"/>
    <mergeCell ref="A287:B287"/>
    <mergeCell ref="A288:B288"/>
    <mergeCell ref="A25:B25"/>
    <mergeCell ref="A26:B26"/>
    <mergeCell ref="A65:B66"/>
    <mergeCell ref="A20:B20"/>
    <mergeCell ref="A21:B21"/>
    <mergeCell ref="A22:B22"/>
    <mergeCell ref="A23:B23"/>
    <mergeCell ref="A24:B24"/>
    <mergeCell ref="D36:E36"/>
    <mergeCell ref="D37:E37"/>
    <mergeCell ref="D38:E38"/>
    <mergeCell ref="D31:E31"/>
    <mergeCell ref="D32:E32"/>
    <mergeCell ref="D33:E33"/>
    <mergeCell ref="D34:E34"/>
    <mergeCell ref="D35:E3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86"/>
  <sheetViews>
    <sheetView showGridLines="0" zoomScale="80" zoomScaleNormal="80" workbookViewId="0">
      <pane ySplit="1" topLeftCell="A2" activePane="bottomLeft" state="frozen"/>
      <selection activeCell="A387" sqref="A387:XFD1048576"/>
      <selection pane="bottomLeft" activeCell="A387" sqref="A387:XFD1048576"/>
    </sheetView>
  </sheetViews>
  <sheetFormatPr defaultColWidth="11.42578125" defaultRowHeight="12.75"/>
  <cols>
    <col min="1" max="1" width="22.5703125" style="257" customWidth="1"/>
    <col min="2" max="2" width="9.7109375" style="257" customWidth="1"/>
    <col min="3" max="3" width="8.42578125" style="257" customWidth="1"/>
    <col min="4" max="4" width="10.28515625" style="257" customWidth="1"/>
    <col min="5" max="5" width="21" style="257" customWidth="1"/>
    <col min="6" max="6" width="9.28515625" style="257" customWidth="1"/>
    <col min="7" max="7" width="21" style="257" customWidth="1"/>
    <col min="8" max="8" width="11.42578125" style="257"/>
    <col min="9" max="9" width="5.85546875" style="257" customWidth="1"/>
    <col min="10" max="10" width="11.42578125" style="257" customWidth="1"/>
    <col min="11" max="11" width="13.28515625" style="257" customWidth="1"/>
    <col min="12" max="12" width="12.7109375" style="257" customWidth="1"/>
    <col min="13" max="14" width="11.42578125" style="257"/>
    <col min="15" max="15" width="14.5703125" style="257" customWidth="1"/>
    <col min="16" max="16" width="10.28515625" style="257" customWidth="1"/>
    <col min="17" max="17" width="4.140625" style="257" customWidth="1"/>
    <col min="18" max="18" width="11.42578125" style="1776"/>
    <col min="19" max="16384" width="11.42578125" style="257"/>
  </cols>
  <sheetData>
    <row r="1" spans="1:18" s="1014" customFormat="1">
      <c r="A1" s="434" t="s">
        <v>309</v>
      </c>
      <c r="B1" s="435"/>
      <c r="C1" s="4"/>
      <c r="D1" s="4"/>
      <c r="E1" s="4"/>
      <c r="F1" s="4"/>
      <c r="G1" s="4"/>
      <c r="H1" s="4"/>
      <c r="I1" s="4"/>
      <c r="J1" s="4"/>
      <c r="K1" s="4"/>
      <c r="L1" s="4"/>
      <c r="M1" s="4"/>
      <c r="N1" s="4"/>
      <c r="O1" s="4"/>
      <c r="P1" s="4"/>
      <c r="Q1" s="4"/>
      <c r="R1" s="1013"/>
    </row>
    <row r="2" spans="1:18" s="1014" customFormat="1">
      <c r="A2" s="20"/>
      <c r="B2" s="4"/>
      <c r="C2" s="4"/>
      <c r="D2" s="4"/>
      <c r="E2" s="4"/>
      <c r="F2" s="4"/>
      <c r="G2" s="4"/>
      <c r="H2" s="4"/>
      <c r="I2" s="4"/>
      <c r="J2" s="4"/>
      <c r="K2" s="4"/>
      <c r="L2" s="4"/>
      <c r="M2" s="4"/>
      <c r="N2" s="4"/>
      <c r="O2" s="4"/>
      <c r="P2" s="4"/>
      <c r="Q2" s="4"/>
      <c r="R2" s="1013"/>
    </row>
    <row r="3" spans="1:18" s="1014" customFormat="1">
      <c r="A3" s="4"/>
      <c r="B3" s="2" t="s">
        <v>95</v>
      </c>
      <c r="C3" s="1133" t="s">
        <v>64</v>
      </c>
      <c r="D3" s="2"/>
      <c r="E3" s="2"/>
      <c r="F3" s="15" t="s">
        <v>96</v>
      </c>
      <c r="G3" s="2"/>
      <c r="H3" s="24" t="s">
        <v>97</v>
      </c>
      <c r="I3" s="4"/>
      <c r="J3" s="4"/>
      <c r="K3" s="4"/>
      <c r="L3" s="4" t="s">
        <v>97</v>
      </c>
      <c r="M3" s="4"/>
      <c r="N3" s="4"/>
      <c r="O3" s="4"/>
      <c r="P3" s="4"/>
      <c r="Q3" s="4"/>
      <c r="R3" s="1013"/>
    </row>
    <row r="4" spans="1:18" s="1014" customFormat="1" ht="15">
      <c r="A4" s="2" t="s">
        <v>81</v>
      </c>
      <c r="B4" s="7">
        <v>7.6999999999999999E-2</v>
      </c>
      <c r="C4" s="1134">
        <f>AVERAGE(B4:B17,B19:B20)</f>
        <v>0.10042187499999999</v>
      </c>
      <c r="D4" s="5"/>
      <c r="E4" s="2" t="s">
        <v>66</v>
      </c>
      <c r="F4" s="8">
        <v>0.08</v>
      </c>
      <c r="G4" s="8"/>
      <c r="H4" s="25">
        <f>B4-F4</f>
        <v>-3.0000000000000027E-3</v>
      </c>
      <c r="I4" s="4"/>
      <c r="J4" s="16" t="s">
        <v>100</v>
      </c>
      <c r="K4" s="16" t="s">
        <v>103</v>
      </c>
      <c r="L4" s="16">
        <v>-1.5899999999999997E-2</v>
      </c>
      <c r="M4" s="14">
        <f t="shared" ref="M4:M9" si="0">-(2%+L4)</f>
        <v>-4.1000000000000029E-3</v>
      </c>
      <c r="N4" s="5">
        <f>L4</f>
        <v>-1.5899999999999997E-2</v>
      </c>
      <c r="O4" s="16" t="str">
        <f t="shared" ref="O4:O12" si="1">CONCATENATE(J4," ",K4)</f>
        <v>Belgique  2010-2008</v>
      </c>
      <c r="P4" s="4"/>
      <c r="Q4" s="4"/>
      <c r="R4" s="1013"/>
    </row>
    <row r="5" spans="1:18" s="1014" customFormat="1">
      <c r="A5" s="2" t="s">
        <v>110</v>
      </c>
      <c r="B5" s="21">
        <v>8.2000000000000003E-2</v>
      </c>
      <c r="C5" s="1134">
        <f>$C$4</f>
        <v>0.10042187499999999</v>
      </c>
      <c r="D5" s="17"/>
      <c r="E5" s="2" t="s">
        <v>110</v>
      </c>
      <c r="F5" s="18">
        <v>8.7499999999999994E-2</v>
      </c>
      <c r="G5" s="17"/>
      <c r="H5" s="25">
        <f t="shared" ref="H5:H17" si="2">B5-F5</f>
        <v>-5.499999999999991E-3</v>
      </c>
      <c r="I5" s="4"/>
      <c r="J5" s="2" t="s">
        <v>101</v>
      </c>
      <c r="K5" s="2" t="s">
        <v>102</v>
      </c>
      <c r="L5" s="5">
        <v>-1.1099999999999999E-2</v>
      </c>
      <c r="M5" s="14">
        <f t="shared" si="0"/>
        <v>-8.9000000000000017E-3</v>
      </c>
      <c r="N5" s="5">
        <f t="shared" ref="N5:N12" si="3">L5</f>
        <v>-1.1099999999999999E-2</v>
      </c>
      <c r="O5" s="17" t="str">
        <f t="shared" si="1"/>
        <v>Pays-Bas  2010-2006</v>
      </c>
      <c r="P5" s="2"/>
      <c r="Q5" s="4"/>
      <c r="R5" s="1013"/>
    </row>
    <row r="6" spans="1:18" s="1014" customFormat="1">
      <c r="A6" s="2" t="s">
        <v>113</v>
      </c>
      <c r="B6" s="18">
        <f>7.19%+1.4%</f>
        <v>8.5900000000000004E-2</v>
      </c>
      <c r="C6" s="1134">
        <f t="shared" ref="C6:C20" si="4">$C$4</f>
        <v>0.10042187499999999</v>
      </c>
      <c r="D6" s="17"/>
      <c r="E6" s="2" t="s">
        <v>68</v>
      </c>
      <c r="F6" s="17">
        <v>9.4700000000000006E-2</v>
      </c>
      <c r="G6" s="17" t="s">
        <v>84</v>
      </c>
      <c r="H6" s="25">
        <f t="shared" si="2"/>
        <v>-8.8000000000000023E-3</v>
      </c>
      <c r="I6" s="4"/>
      <c r="J6" s="2" t="s">
        <v>114</v>
      </c>
      <c r="K6" s="2" t="s">
        <v>104</v>
      </c>
      <c r="L6" s="5">
        <v>-8.8000000000000023E-3</v>
      </c>
      <c r="M6" s="14">
        <f t="shared" si="0"/>
        <v>-1.1199999999999998E-2</v>
      </c>
      <c r="N6" s="5">
        <f t="shared" si="3"/>
        <v>-8.8000000000000023E-3</v>
      </c>
      <c r="O6" s="17" t="str">
        <f t="shared" si="1"/>
        <v>Allemagne** 2009-2007</v>
      </c>
      <c r="P6" s="2"/>
      <c r="Q6" s="4"/>
      <c r="R6" s="1013"/>
    </row>
    <row r="7" spans="1:18" s="1014" customFormat="1" ht="15">
      <c r="A7" s="2" t="s">
        <v>79</v>
      </c>
      <c r="B7" s="7">
        <v>8.6900000000000005E-2</v>
      </c>
      <c r="C7" s="1134">
        <f t="shared" si="4"/>
        <v>0.10042187499999999</v>
      </c>
      <c r="D7" s="16"/>
      <c r="E7" s="2" t="s">
        <v>88</v>
      </c>
      <c r="F7" s="19">
        <v>9.8000000000000004E-2</v>
      </c>
      <c r="G7" s="16"/>
      <c r="H7" s="25">
        <f t="shared" si="2"/>
        <v>-1.1099999999999999E-2</v>
      </c>
      <c r="I7" s="4"/>
      <c r="J7" s="2" t="s">
        <v>112</v>
      </c>
      <c r="K7" s="2" t="s">
        <v>105</v>
      </c>
      <c r="L7" s="5">
        <v>-5.499999999999991E-3</v>
      </c>
      <c r="M7" s="14">
        <f t="shared" si="0"/>
        <v>-1.4500000000000009E-2</v>
      </c>
      <c r="N7" s="5">
        <f t="shared" si="3"/>
        <v>-5.499999999999991E-3</v>
      </c>
      <c r="O7" s="17" t="str">
        <f t="shared" si="1"/>
        <v>Suisse * 2009-2008</v>
      </c>
      <c r="P7" s="2"/>
      <c r="Q7" s="4"/>
      <c r="R7" s="1013"/>
    </row>
    <row r="8" spans="1:18" s="1014" customFormat="1">
      <c r="A8" s="2" t="s">
        <v>67</v>
      </c>
      <c r="B8" s="17">
        <v>9.1999999999999998E-2</v>
      </c>
      <c r="C8" s="1134">
        <f t="shared" si="4"/>
        <v>0.10042187499999999</v>
      </c>
      <c r="D8" s="17"/>
      <c r="E8" s="2" t="s">
        <v>67</v>
      </c>
      <c r="F8" s="17">
        <v>9.1999999999999998E-2</v>
      </c>
      <c r="G8" s="17" t="s">
        <v>86</v>
      </c>
      <c r="H8" s="25"/>
      <c r="I8" s="4"/>
      <c r="J8" s="2" t="s">
        <v>106</v>
      </c>
      <c r="K8" s="2" t="s">
        <v>105</v>
      </c>
      <c r="L8" s="5">
        <v>-3.0000000000000027E-3</v>
      </c>
      <c r="M8" s="14">
        <f t="shared" si="0"/>
        <v>-1.6999999999999998E-2</v>
      </c>
      <c r="N8" s="5">
        <f t="shared" si="3"/>
        <v>-3.0000000000000027E-3</v>
      </c>
      <c r="O8" s="17" t="str">
        <f t="shared" si="1"/>
        <v>Danemark  2009-2008</v>
      </c>
      <c r="P8" s="2"/>
      <c r="Q8" s="4"/>
      <c r="R8" s="1013"/>
    </row>
    <row r="9" spans="1:18" s="1016" customFormat="1" ht="15">
      <c r="A9" s="1" t="s">
        <v>78</v>
      </c>
      <c r="B9" s="22">
        <v>9.6100000000000005E-2</v>
      </c>
      <c r="C9" s="1134">
        <f t="shared" si="4"/>
        <v>0.10042187499999999</v>
      </c>
      <c r="D9" s="16"/>
      <c r="E9" s="16" t="s">
        <v>72</v>
      </c>
      <c r="F9" s="16">
        <v>0.112</v>
      </c>
      <c r="G9" s="1"/>
      <c r="H9" s="25">
        <f t="shared" si="2"/>
        <v>-1.5899999999999997E-2</v>
      </c>
      <c r="I9" s="1"/>
      <c r="J9" s="2" t="s">
        <v>38</v>
      </c>
      <c r="K9" s="2" t="s">
        <v>103</v>
      </c>
      <c r="L9" s="5">
        <v>-3.0000000000000027E-3</v>
      </c>
      <c r="M9" s="14">
        <f t="shared" si="0"/>
        <v>-1.6999999999999998E-2</v>
      </c>
      <c r="N9" s="5">
        <f t="shared" si="3"/>
        <v>-3.0000000000000027E-3</v>
      </c>
      <c r="O9" s="17" t="str">
        <f t="shared" si="1"/>
        <v>France 2010-2008</v>
      </c>
      <c r="P9" s="2"/>
      <c r="Q9" s="1"/>
      <c r="R9" s="1015"/>
    </row>
    <row r="10" spans="1:18" s="1014" customFormat="1">
      <c r="A10" s="2" t="s">
        <v>98</v>
      </c>
      <c r="B10" s="17">
        <v>0.10100000000000001</v>
      </c>
      <c r="C10" s="1134">
        <f t="shared" si="4"/>
        <v>0.10042187499999999</v>
      </c>
      <c r="D10" s="17"/>
      <c r="E10" s="2" t="s">
        <v>93</v>
      </c>
      <c r="F10" s="17">
        <v>0.1</v>
      </c>
      <c r="G10" s="17"/>
      <c r="H10" s="25">
        <f t="shared" si="2"/>
        <v>1.0000000000000009E-3</v>
      </c>
      <c r="I10" s="4"/>
      <c r="J10" s="2" t="s">
        <v>107</v>
      </c>
      <c r="K10" s="2" t="s">
        <v>108</v>
      </c>
      <c r="L10" s="5">
        <v>1.0000000000000009E-3</v>
      </c>
      <c r="M10" s="4"/>
      <c r="N10" s="5">
        <f t="shared" si="3"/>
        <v>1.0000000000000009E-3</v>
      </c>
      <c r="O10" s="17" t="str">
        <f t="shared" si="1"/>
        <v>R.U. BL BT 2009-2005</v>
      </c>
      <c r="P10" s="2"/>
      <c r="Q10" s="4"/>
      <c r="R10" s="1013"/>
    </row>
    <row r="11" spans="1:18" s="1014" customFormat="1">
      <c r="A11" s="2" t="s">
        <v>69</v>
      </c>
      <c r="B11" s="17">
        <v>0.10199999999999999</v>
      </c>
      <c r="C11" s="1134">
        <f t="shared" si="4"/>
        <v>0.10042187499999999</v>
      </c>
      <c r="D11" s="17"/>
      <c r="E11" s="2" t="s">
        <v>69</v>
      </c>
      <c r="F11" s="17">
        <v>0.10199999999999999</v>
      </c>
      <c r="G11" s="17" t="s">
        <v>86</v>
      </c>
      <c r="H11" s="25"/>
      <c r="I11" s="4"/>
      <c r="J11" s="2" t="s">
        <v>109</v>
      </c>
      <c r="K11" s="2" t="s">
        <v>105</v>
      </c>
      <c r="L11" s="5">
        <v>1.2999999999999956E-3</v>
      </c>
      <c r="M11" s="4"/>
      <c r="N11" s="5">
        <f t="shared" si="3"/>
        <v>1.2999999999999956E-3</v>
      </c>
      <c r="O11" s="17" t="str">
        <f t="shared" si="1"/>
        <v>Espagne  2009-2008</v>
      </c>
      <c r="P11" s="2"/>
      <c r="Q11" s="4"/>
      <c r="R11" s="1013"/>
    </row>
    <row r="12" spans="1:18" s="1014" customFormat="1">
      <c r="A12" s="2" t="s">
        <v>74</v>
      </c>
      <c r="B12" s="17">
        <v>0.1021</v>
      </c>
      <c r="C12" s="1134">
        <f t="shared" si="4"/>
        <v>0.10042187499999999</v>
      </c>
      <c r="D12" s="17"/>
      <c r="E12" s="2" t="s">
        <v>74</v>
      </c>
      <c r="F12" s="17">
        <v>0.1021</v>
      </c>
      <c r="G12" s="17" t="s">
        <v>86</v>
      </c>
      <c r="H12" s="25"/>
      <c r="I12" s="4"/>
      <c r="J12" s="2" t="s">
        <v>117</v>
      </c>
      <c r="K12" s="2" t="s">
        <v>105</v>
      </c>
      <c r="L12" s="5">
        <v>4.4000000000000011E-3</v>
      </c>
      <c r="M12" s="4"/>
      <c r="N12" s="5">
        <f t="shared" si="3"/>
        <v>4.4000000000000011E-3</v>
      </c>
      <c r="O12" s="17" t="str">
        <f t="shared" si="1"/>
        <v>Finlande*** 2009-2008</v>
      </c>
      <c r="P12" s="2"/>
      <c r="Q12" s="4"/>
      <c r="R12" s="1013"/>
    </row>
    <row r="13" spans="1:18" s="1014" customFormat="1" ht="15">
      <c r="A13" s="2" t="s">
        <v>116</v>
      </c>
      <c r="B13" s="23">
        <f>AVERAGE(9.36%, 11.15%)</f>
        <v>0.10255</v>
      </c>
      <c r="C13" s="1134">
        <f t="shared" si="4"/>
        <v>0.10042187499999999</v>
      </c>
      <c r="D13" s="17"/>
      <c r="E13" s="2" t="s">
        <v>115</v>
      </c>
      <c r="F13" s="23">
        <f>AVERAGE(8.73%, 10.9%)</f>
        <v>9.8150000000000001E-2</v>
      </c>
      <c r="G13" s="2"/>
      <c r="H13" s="25">
        <f t="shared" si="2"/>
        <v>4.4000000000000011E-3</v>
      </c>
      <c r="I13" s="4"/>
      <c r="J13" s="4"/>
      <c r="K13" s="4"/>
      <c r="L13" s="4"/>
      <c r="M13" s="4"/>
      <c r="N13" s="4"/>
      <c r="O13" s="4"/>
      <c r="P13" s="4"/>
      <c r="Q13" s="4"/>
      <c r="R13" s="1013"/>
    </row>
    <row r="14" spans="1:18" s="1014" customFormat="1">
      <c r="A14" s="2" t="s">
        <v>77</v>
      </c>
      <c r="B14" s="17">
        <v>0.104</v>
      </c>
      <c r="C14" s="1134">
        <f t="shared" si="4"/>
        <v>0.10042187499999999</v>
      </c>
      <c r="D14" s="17"/>
      <c r="E14" s="2" t="s">
        <v>82</v>
      </c>
      <c r="F14" s="17">
        <v>0.107</v>
      </c>
      <c r="G14" s="2"/>
      <c r="H14" s="25">
        <f t="shared" si="2"/>
        <v>-3.0000000000000027E-3</v>
      </c>
      <c r="I14" s="4"/>
      <c r="J14" s="4"/>
      <c r="K14" s="4"/>
      <c r="L14" s="4"/>
      <c r="M14" s="4"/>
      <c r="N14" s="4"/>
      <c r="O14" s="4"/>
      <c r="P14" s="4"/>
      <c r="Q14" s="4"/>
      <c r="R14" s="1013"/>
    </row>
    <row r="15" spans="1:18" s="1014" customFormat="1">
      <c r="A15" s="2" t="s">
        <v>70</v>
      </c>
      <c r="B15" s="17">
        <v>0.104</v>
      </c>
      <c r="C15" s="1134">
        <f t="shared" si="4"/>
        <v>0.10042187499999999</v>
      </c>
      <c r="D15" s="17"/>
      <c r="E15" s="2" t="s">
        <v>70</v>
      </c>
      <c r="F15" s="17">
        <v>0.104</v>
      </c>
      <c r="G15" s="17" t="s">
        <v>86</v>
      </c>
      <c r="H15" s="25"/>
      <c r="I15" s="4"/>
      <c r="J15" s="2"/>
      <c r="K15" s="2"/>
      <c r="L15" s="5"/>
      <c r="M15" s="4"/>
      <c r="N15" s="4"/>
      <c r="O15" s="4"/>
      <c r="P15" s="4"/>
      <c r="Q15" s="4"/>
      <c r="R15" s="1013"/>
    </row>
    <row r="16" spans="1:18" s="1014" customFormat="1">
      <c r="A16" s="2" t="s">
        <v>80</v>
      </c>
      <c r="B16" s="17">
        <v>0.1048</v>
      </c>
      <c r="C16" s="1134">
        <f t="shared" si="4"/>
        <v>0.10042187499999999</v>
      </c>
      <c r="D16" s="17"/>
      <c r="E16" s="17" t="s">
        <v>83</v>
      </c>
      <c r="F16" s="17">
        <v>0.1048</v>
      </c>
      <c r="G16" s="17" t="s">
        <v>99</v>
      </c>
      <c r="H16" s="25"/>
      <c r="I16" s="4"/>
      <c r="J16" s="17"/>
      <c r="K16" s="17"/>
      <c r="L16" s="5"/>
      <c r="M16" s="4"/>
      <c r="N16" s="4"/>
      <c r="O16" s="4"/>
      <c r="P16" s="4"/>
      <c r="Q16" s="4"/>
      <c r="R16" s="1013"/>
    </row>
    <row r="17" spans="1:18" s="1014" customFormat="1">
      <c r="A17" s="2" t="s">
        <v>91</v>
      </c>
      <c r="B17" s="17">
        <v>0.1094</v>
      </c>
      <c r="C17" s="1134">
        <f t="shared" si="4"/>
        <v>0.10042187499999999</v>
      </c>
      <c r="D17" s="17"/>
      <c r="E17" s="2" t="s">
        <v>71</v>
      </c>
      <c r="F17" s="17">
        <v>0.1081</v>
      </c>
      <c r="G17" s="17"/>
      <c r="H17" s="25">
        <f t="shared" si="2"/>
        <v>1.2999999999999956E-3</v>
      </c>
      <c r="I17" s="4"/>
      <c r="J17" s="4"/>
      <c r="K17" s="4"/>
      <c r="L17" s="325" t="s">
        <v>468</v>
      </c>
      <c r="M17" s="326"/>
      <c r="N17" s="326"/>
      <c r="O17" s="326"/>
      <c r="P17" s="327"/>
      <c r="Q17" s="4"/>
      <c r="R17" s="1013"/>
    </row>
    <row r="18" spans="1:18" s="1014" customFormat="1">
      <c r="A18" s="1" t="s">
        <v>72</v>
      </c>
      <c r="B18" s="16">
        <v>0.112</v>
      </c>
      <c r="C18" s="1134">
        <f t="shared" si="4"/>
        <v>0.10042187499999999</v>
      </c>
      <c r="D18" s="4"/>
      <c r="E18" s="4"/>
      <c r="F18" s="4"/>
      <c r="G18" s="4"/>
      <c r="H18" s="25"/>
      <c r="I18" s="4"/>
      <c r="J18" s="4"/>
      <c r="K18" s="4"/>
      <c r="L18" s="328" t="s">
        <v>271</v>
      </c>
      <c r="M18" s="329"/>
      <c r="N18" s="329"/>
      <c r="O18" s="329"/>
      <c r="P18" s="330"/>
      <c r="Q18" s="4"/>
      <c r="R18" s="1013"/>
    </row>
    <row r="19" spans="1:18" s="1014" customFormat="1">
      <c r="A19" s="2" t="s">
        <v>73</v>
      </c>
      <c r="B19" s="17">
        <v>0.125</v>
      </c>
      <c r="C19" s="1134">
        <f t="shared" si="4"/>
        <v>0.10042187499999999</v>
      </c>
      <c r="D19" s="17"/>
      <c r="E19" s="2" t="s">
        <v>73</v>
      </c>
      <c r="F19" s="17">
        <v>0.125</v>
      </c>
      <c r="G19" s="17" t="s">
        <v>86</v>
      </c>
      <c r="H19" s="25"/>
      <c r="I19" s="4"/>
      <c r="J19" s="4"/>
      <c r="K19" s="4"/>
      <c r="L19" s="922" t="s">
        <v>469</v>
      </c>
      <c r="M19" s="329"/>
      <c r="N19" s="329"/>
      <c r="O19" s="329"/>
      <c r="P19" s="331">
        <f>B18</f>
        <v>0.112</v>
      </c>
      <c r="Q19" s="4"/>
      <c r="R19" s="1013"/>
    </row>
    <row r="20" spans="1:18" s="1014" customFormat="1">
      <c r="A20" s="2" t="s">
        <v>89</v>
      </c>
      <c r="B20" s="17">
        <v>0.13200000000000001</v>
      </c>
      <c r="C20" s="1134">
        <f t="shared" si="4"/>
        <v>0.10042187499999999</v>
      </c>
      <c r="D20" s="17"/>
      <c r="E20" s="2" t="s">
        <v>89</v>
      </c>
      <c r="F20" s="17">
        <v>0.13200000000000001</v>
      </c>
      <c r="G20" s="17" t="s">
        <v>86</v>
      </c>
      <c r="H20" s="24"/>
      <c r="I20" s="4"/>
      <c r="J20" s="4"/>
      <c r="K20" s="4"/>
      <c r="L20" s="922" t="s">
        <v>470</v>
      </c>
      <c r="M20" s="329"/>
      <c r="N20" s="923"/>
      <c r="O20" s="332">
        <f>B9</f>
        <v>9.6100000000000005E-2</v>
      </c>
      <c r="P20" s="330"/>
      <c r="Q20" s="4"/>
      <c r="R20" s="1013"/>
    </row>
    <row r="21" spans="1:18" s="1014" customFormat="1">
      <c r="A21" s="4"/>
      <c r="B21" s="4"/>
      <c r="C21" s="5"/>
      <c r="D21" s="5"/>
      <c r="E21" s="4"/>
      <c r="F21" s="4"/>
      <c r="G21" s="4"/>
      <c r="H21" s="25"/>
      <c r="I21" s="4"/>
      <c r="J21" s="4"/>
      <c r="K21" s="4"/>
      <c r="L21" s="328" t="s">
        <v>268</v>
      </c>
      <c r="M21" s="332">
        <f>AVERAGE(B4:B8,B10:B20)</f>
        <v>0.10141562500000001</v>
      </c>
      <c r="N21" s="329"/>
      <c r="O21" s="329"/>
      <c r="P21" s="330"/>
      <c r="Q21" s="4"/>
      <c r="R21" s="1013"/>
    </row>
    <row r="22" spans="1:18" s="1014" customFormat="1">
      <c r="A22" s="2" t="s">
        <v>92</v>
      </c>
      <c r="B22" s="17">
        <v>0.11</v>
      </c>
      <c r="C22" s="17">
        <f>AVERAGE(B19:B29)</f>
        <v>0.12233333333333334</v>
      </c>
      <c r="D22" s="17"/>
      <c r="E22" s="2" t="s">
        <v>94</v>
      </c>
      <c r="F22" s="17">
        <v>0.114</v>
      </c>
      <c r="G22" s="17"/>
      <c r="H22" s="5"/>
      <c r="I22" s="4"/>
      <c r="J22" s="4"/>
      <c r="K22" s="4"/>
      <c r="L22" s="333" t="s">
        <v>272</v>
      </c>
      <c r="M22" s="334">
        <f>MEDIAN(B4:B8,B10:B20)</f>
        <v>0.102325</v>
      </c>
      <c r="N22" s="335"/>
      <c r="O22" s="335"/>
      <c r="P22" s="336"/>
      <c r="Q22" s="4"/>
      <c r="R22" s="1013"/>
    </row>
    <row r="23" spans="1:18" s="1014" customFormat="1">
      <c r="A23" s="2" t="s">
        <v>111</v>
      </c>
      <c r="B23" s="4"/>
      <c r="C23" s="4"/>
      <c r="D23" s="4"/>
      <c r="E23" s="4"/>
      <c r="F23" s="4"/>
      <c r="G23" s="4"/>
      <c r="H23" s="4"/>
      <c r="I23" s="4"/>
      <c r="J23" s="4"/>
      <c r="K23" s="4"/>
      <c r="L23" s="4"/>
      <c r="M23" s="4"/>
      <c r="N23" s="4"/>
      <c r="O23" s="4"/>
      <c r="P23" s="4"/>
      <c r="Q23" s="4"/>
      <c r="R23" s="1013"/>
    </row>
    <row r="24" spans="1:18" s="1014" customFormat="1">
      <c r="A24" s="2" t="s">
        <v>131</v>
      </c>
      <c r="B24" s="8"/>
      <c r="C24" s="4"/>
      <c r="D24" s="4"/>
      <c r="E24" s="4"/>
      <c r="F24" s="4"/>
      <c r="G24" s="14"/>
      <c r="H24" s="4"/>
      <c r="I24" s="4"/>
      <c r="J24" s="4"/>
      <c r="K24" s="4"/>
      <c r="L24" s="4"/>
      <c r="M24" s="4"/>
      <c r="N24" s="4"/>
      <c r="O24" s="4"/>
      <c r="P24" s="4"/>
      <c r="Q24" s="4"/>
      <c r="R24" s="1013"/>
    </row>
    <row r="25" spans="1:18" s="1014" customFormat="1">
      <c r="A25" s="235" t="s">
        <v>275</v>
      </c>
      <c r="B25" s="4"/>
      <c r="C25" s="4"/>
      <c r="D25" s="4"/>
      <c r="E25" s="4"/>
      <c r="F25" s="4"/>
      <c r="G25" s="4"/>
      <c r="H25" s="4"/>
      <c r="I25" s="4"/>
      <c r="J25" s="4"/>
      <c r="K25" s="4"/>
      <c r="L25" s="4"/>
      <c r="M25" s="4"/>
      <c r="N25" s="4"/>
      <c r="O25" s="4"/>
      <c r="P25" s="4"/>
      <c r="Q25" s="4"/>
      <c r="R25" s="1013"/>
    </row>
    <row r="26" spans="1:18" s="1014" customFormat="1">
      <c r="A26" s="4"/>
      <c r="B26" s="16"/>
      <c r="C26" s="16"/>
      <c r="D26" s="16"/>
      <c r="E26" s="4"/>
      <c r="F26" s="4"/>
      <c r="G26" s="4"/>
      <c r="H26" s="4"/>
      <c r="I26" s="4"/>
      <c r="J26" s="4"/>
      <c r="K26" s="4"/>
      <c r="L26" s="4"/>
      <c r="M26" s="4"/>
      <c r="N26" s="4"/>
      <c r="O26" s="4"/>
      <c r="P26" s="4"/>
      <c r="Q26" s="4"/>
      <c r="R26" s="1013"/>
    </row>
    <row r="27" spans="1:18" s="1014" customFormat="1">
      <c r="A27" s="4"/>
      <c r="B27" s="4"/>
      <c r="C27" s="5"/>
      <c r="D27" s="5"/>
      <c r="E27" s="5"/>
      <c r="F27" s="5"/>
      <c r="G27" s="5"/>
      <c r="H27" s="4"/>
      <c r="I27" s="4"/>
      <c r="J27" s="4"/>
      <c r="K27" s="4"/>
      <c r="L27" s="4"/>
      <c r="M27" s="4"/>
      <c r="N27" s="4"/>
      <c r="O27" s="4"/>
      <c r="P27" s="4"/>
      <c r="Q27" s="4"/>
      <c r="R27" s="1013"/>
    </row>
    <row r="28" spans="1:18" s="1014" customFormat="1">
      <c r="A28" s="4"/>
      <c r="B28" s="4"/>
      <c r="C28" s="4"/>
      <c r="D28" s="4"/>
      <c r="E28" s="4"/>
      <c r="F28" s="4"/>
      <c r="G28" s="4"/>
      <c r="H28" s="4"/>
      <c r="I28" s="4"/>
      <c r="J28" s="4"/>
      <c r="K28" s="4"/>
      <c r="L28" s="4"/>
      <c r="M28" s="4"/>
      <c r="N28" s="4"/>
      <c r="O28" s="4"/>
      <c r="P28" s="4"/>
      <c r="Q28" s="4"/>
      <c r="R28" s="1013"/>
    </row>
    <row r="29" spans="1:18" s="1014" customFormat="1">
      <c r="A29" s="4"/>
      <c r="B29" s="4"/>
      <c r="C29" s="4"/>
      <c r="D29" s="4"/>
      <c r="E29" s="4"/>
      <c r="F29" s="4"/>
      <c r="G29" s="4"/>
      <c r="H29" s="4"/>
      <c r="I29" s="4"/>
      <c r="J29" s="4"/>
      <c r="K29" s="4"/>
      <c r="L29" s="4"/>
      <c r="M29" s="4"/>
      <c r="N29" s="4"/>
      <c r="O29" s="4"/>
      <c r="P29" s="4"/>
      <c r="Q29" s="4"/>
      <c r="R29" s="1013"/>
    </row>
    <row r="30" spans="1:18" s="1014" customFormat="1">
      <c r="A30" s="4"/>
      <c r="B30" s="4"/>
      <c r="C30" s="4"/>
      <c r="D30" s="4"/>
      <c r="E30" s="4"/>
      <c r="F30" s="4"/>
      <c r="G30" s="4"/>
      <c r="H30" s="4"/>
      <c r="I30" s="4"/>
      <c r="J30" s="4"/>
      <c r="K30" s="4"/>
      <c r="L30" s="4"/>
      <c r="M30" s="4"/>
      <c r="N30" s="4"/>
      <c r="O30" s="4"/>
      <c r="P30" s="4"/>
      <c r="Q30" s="4"/>
      <c r="R30" s="1013"/>
    </row>
    <row r="31" spans="1:18" s="1014" customFormat="1">
      <c r="A31" s="4"/>
      <c r="B31" s="4"/>
      <c r="C31" s="4"/>
      <c r="D31" s="4"/>
      <c r="E31" s="4"/>
      <c r="F31" s="4"/>
      <c r="G31" s="4"/>
      <c r="H31" s="4"/>
      <c r="I31" s="4"/>
      <c r="J31" s="4"/>
      <c r="K31" s="4"/>
      <c r="L31" s="4"/>
      <c r="M31" s="4"/>
      <c r="N31" s="4"/>
      <c r="O31" s="4"/>
      <c r="P31" s="4"/>
      <c r="Q31" s="4"/>
      <c r="R31" s="1013"/>
    </row>
    <row r="32" spans="1:18" s="1014" customFormat="1">
      <c r="A32" s="4"/>
      <c r="B32" s="4"/>
      <c r="C32" s="4"/>
      <c r="D32" s="4"/>
      <c r="E32" s="4"/>
      <c r="F32" s="4"/>
      <c r="G32" s="4"/>
      <c r="H32" s="4"/>
      <c r="I32" s="4"/>
      <c r="J32" s="4"/>
      <c r="K32" s="4"/>
      <c r="L32" s="4"/>
      <c r="M32" s="4"/>
      <c r="N32" s="4"/>
      <c r="O32" s="4"/>
      <c r="P32" s="4"/>
      <c r="Q32" s="4"/>
      <c r="R32" s="1013"/>
    </row>
    <row r="33" spans="1:18" s="1014" customFormat="1">
      <c r="A33" s="4"/>
      <c r="B33" s="4"/>
      <c r="C33" s="4"/>
      <c r="D33" s="4"/>
      <c r="E33" s="4"/>
      <c r="F33" s="4"/>
      <c r="G33" s="4"/>
      <c r="H33" s="4"/>
      <c r="I33" s="4"/>
      <c r="J33" s="4"/>
      <c r="K33" s="4"/>
      <c r="L33" s="4"/>
      <c r="M33" s="4"/>
      <c r="N33" s="4"/>
      <c r="O33" s="4"/>
      <c r="P33" s="4"/>
      <c r="Q33" s="4"/>
      <c r="R33" s="1013"/>
    </row>
    <row r="34" spans="1:18" s="1014" customFormat="1">
      <c r="A34" s="4"/>
      <c r="B34" s="4"/>
      <c r="C34" s="4"/>
      <c r="D34" s="4"/>
      <c r="E34" s="4"/>
      <c r="F34" s="4"/>
      <c r="G34" s="4"/>
      <c r="H34" s="4"/>
      <c r="I34" s="4"/>
      <c r="J34" s="4"/>
      <c r="K34" s="4"/>
      <c r="L34" s="4"/>
      <c r="M34" s="4"/>
      <c r="N34" s="4"/>
      <c r="O34" s="4"/>
      <c r="P34" s="4"/>
      <c r="Q34" s="4"/>
      <c r="R34" s="1013"/>
    </row>
    <row r="35" spans="1:18" s="1014" customFormat="1">
      <c r="A35" s="4"/>
      <c r="B35" s="4"/>
      <c r="C35" s="4"/>
      <c r="D35" s="4"/>
      <c r="E35" s="4"/>
      <c r="F35" s="4"/>
      <c r="G35" s="4"/>
      <c r="H35" s="4"/>
      <c r="I35" s="4"/>
      <c r="J35" s="4"/>
      <c r="K35" s="4"/>
      <c r="L35" s="4"/>
      <c r="M35" s="4"/>
      <c r="N35" s="4"/>
      <c r="O35" s="4"/>
      <c r="P35" s="4"/>
      <c r="Q35" s="4"/>
      <c r="R35" s="1013"/>
    </row>
    <row r="36" spans="1:18" s="1014" customFormat="1">
      <c r="A36" s="4"/>
      <c r="B36" s="4"/>
      <c r="C36" s="4"/>
      <c r="D36" s="4"/>
      <c r="E36" s="4"/>
      <c r="F36" s="4"/>
      <c r="G36" s="4"/>
      <c r="H36" s="4"/>
      <c r="I36" s="4"/>
      <c r="J36" s="4"/>
      <c r="K36" s="4"/>
      <c r="L36" s="4"/>
      <c r="M36" s="4"/>
      <c r="N36" s="4"/>
      <c r="O36" s="4"/>
      <c r="P36" s="4"/>
      <c r="Q36" s="4"/>
      <c r="R36" s="1013"/>
    </row>
    <row r="37" spans="1:18" s="1014" customFormat="1">
      <c r="A37" s="4"/>
      <c r="B37" s="4"/>
      <c r="C37" s="4"/>
      <c r="D37" s="4"/>
      <c r="E37" s="4"/>
      <c r="F37" s="4"/>
      <c r="G37" s="4"/>
      <c r="H37" s="4"/>
      <c r="I37" s="4"/>
      <c r="J37" s="4"/>
      <c r="K37" s="4"/>
      <c r="L37" s="4"/>
      <c r="M37" s="4"/>
      <c r="N37" s="4"/>
      <c r="O37" s="4"/>
      <c r="P37" s="4"/>
      <c r="Q37" s="4"/>
      <c r="R37" s="1013"/>
    </row>
    <row r="38" spans="1:18" s="1014" customFormat="1">
      <c r="A38" s="4"/>
      <c r="B38" s="4"/>
      <c r="C38" s="4"/>
      <c r="D38" s="4"/>
      <c r="E38" s="4"/>
      <c r="F38" s="4"/>
      <c r="G38" s="4"/>
      <c r="H38" s="4"/>
      <c r="I38" s="4"/>
      <c r="J38" s="4"/>
      <c r="K38" s="4"/>
      <c r="L38" s="4"/>
      <c r="M38" s="4"/>
      <c r="N38" s="4"/>
      <c r="O38" s="4"/>
      <c r="P38" s="4"/>
      <c r="Q38" s="4"/>
      <c r="R38" s="1013"/>
    </row>
    <row r="39" spans="1:18" s="1014" customFormat="1">
      <c r="A39" s="4"/>
      <c r="B39" s="4"/>
      <c r="C39" s="4"/>
      <c r="D39" s="4"/>
      <c r="E39" s="4"/>
      <c r="F39" s="4"/>
      <c r="G39" s="4"/>
      <c r="H39" s="4"/>
      <c r="I39" s="4"/>
      <c r="J39" s="4"/>
      <c r="K39" s="4"/>
      <c r="L39" s="4"/>
      <c r="M39" s="4"/>
      <c r="N39" s="4"/>
      <c r="O39" s="4"/>
      <c r="P39" s="4"/>
      <c r="Q39" s="4"/>
      <c r="R39" s="1013"/>
    </row>
    <row r="40" spans="1:18" s="1014" customFormat="1">
      <c r="A40" s="4"/>
      <c r="B40" s="4"/>
      <c r="C40" s="4"/>
      <c r="D40" s="4"/>
      <c r="E40" s="4"/>
      <c r="F40" s="4"/>
      <c r="G40" s="4"/>
      <c r="H40" s="4"/>
      <c r="I40" s="4"/>
      <c r="J40" s="4"/>
      <c r="K40" s="4"/>
      <c r="L40" s="4"/>
      <c r="M40" s="4"/>
      <c r="N40" s="4"/>
      <c r="O40" s="4"/>
      <c r="P40" s="4"/>
      <c r="Q40" s="4"/>
      <c r="R40" s="1013"/>
    </row>
    <row r="41" spans="1:18" s="1014" customFormat="1">
      <c r="A41" s="4"/>
      <c r="B41" s="4"/>
      <c r="C41" s="4"/>
      <c r="D41" s="4"/>
      <c r="E41" s="4"/>
      <c r="F41" s="4"/>
      <c r="G41" s="4"/>
      <c r="H41" s="4"/>
      <c r="I41" s="4"/>
      <c r="J41" s="4"/>
      <c r="K41" s="4"/>
      <c r="L41" s="4"/>
      <c r="M41" s="4"/>
      <c r="N41" s="4"/>
      <c r="O41" s="4"/>
      <c r="P41" s="4"/>
      <c r="Q41" s="4"/>
      <c r="R41" s="1013"/>
    </row>
    <row r="42" spans="1:18" s="1014" customFormat="1">
      <c r="A42" s="4"/>
      <c r="B42" s="4"/>
      <c r="C42" s="4"/>
      <c r="D42" s="4"/>
      <c r="E42" s="4"/>
      <c r="F42" s="4"/>
      <c r="G42" s="4"/>
      <c r="H42" s="4"/>
      <c r="I42" s="4"/>
      <c r="J42" s="4"/>
      <c r="K42" s="4"/>
      <c r="L42" s="4"/>
      <c r="M42" s="4"/>
      <c r="N42" s="4"/>
      <c r="O42" s="4"/>
      <c r="P42" s="4"/>
      <c r="Q42" s="4"/>
      <c r="R42" s="1013"/>
    </row>
    <row r="43" spans="1:18" s="1014" customFormat="1">
      <c r="A43" s="4"/>
      <c r="B43" s="4"/>
      <c r="C43" s="4"/>
      <c r="D43" s="4"/>
      <c r="E43" s="4"/>
      <c r="F43" s="4"/>
      <c r="G43" s="4"/>
      <c r="H43" s="4"/>
      <c r="I43" s="4"/>
      <c r="J43" s="4"/>
      <c r="K43" s="4"/>
      <c r="L43" s="4"/>
      <c r="M43" s="4"/>
      <c r="N43" s="4"/>
      <c r="O43" s="4"/>
      <c r="P43" s="4"/>
      <c r="Q43" s="4"/>
      <c r="R43" s="1013"/>
    </row>
    <row r="44" spans="1:18" s="1014" customFormat="1">
      <c r="A44" s="4"/>
      <c r="B44" s="4"/>
      <c r="C44" s="4"/>
      <c r="D44" s="4"/>
      <c r="E44" s="4"/>
      <c r="F44" s="4"/>
      <c r="G44" s="4"/>
      <c r="H44" s="4"/>
      <c r="I44" s="4"/>
      <c r="J44" s="4"/>
      <c r="K44" s="4"/>
      <c r="L44" s="4"/>
      <c r="M44" s="4"/>
      <c r="N44" s="4"/>
      <c r="O44" s="4"/>
      <c r="P44" s="4"/>
      <c r="Q44" s="4"/>
      <c r="R44" s="1013"/>
    </row>
    <row r="45" spans="1:18" s="1014" customFormat="1">
      <c r="A45" s="4"/>
      <c r="B45" s="4"/>
      <c r="C45" s="4"/>
      <c r="D45" s="4"/>
      <c r="E45" s="4"/>
      <c r="F45" s="4"/>
      <c r="G45" s="4"/>
      <c r="H45" s="4"/>
      <c r="I45" s="4"/>
      <c r="J45" s="4"/>
      <c r="K45" s="4"/>
      <c r="L45" s="4"/>
      <c r="M45" s="4"/>
      <c r="N45" s="4"/>
      <c r="O45" s="4"/>
      <c r="P45" s="4"/>
      <c r="Q45" s="4"/>
      <c r="R45" s="1013"/>
    </row>
    <row r="46" spans="1:18" s="1014" customFormat="1">
      <c r="A46" s="4"/>
      <c r="B46" s="4"/>
      <c r="C46" s="4"/>
      <c r="D46" s="4"/>
      <c r="E46" s="4"/>
      <c r="F46" s="4"/>
      <c r="G46" s="4"/>
      <c r="H46" s="4"/>
      <c r="I46" s="4"/>
      <c r="J46" s="4"/>
      <c r="K46" s="4"/>
      <c r="L46" s="4"/>
      <c r="M46" s="4"/>
      <c r="N46" s="4"/>
      <c r="O46" s="4"/>
      <c r="P46" s="4"/>
      <c r="Q46" s="4"/>
      <c r="R46" s="1013"/>
    </row>
    <row r="47" spans="1:18" s="1014" customFormat="1">
      <c r="A47" s="4"/>
      <c r="B47" s="4"/>
      <c r="C47" s="4"/>
      <c r="D47" s="4"/>
      <c r="E47" s="4"/>
      <c r="F47" s="4"/>
      <c r="G47" s="4"/>
      <c r="H47" s="4"/>
      <c r="I47" s="4"/>
      <c r="J47" s="4"/>
      <c r="K47" s="4"/>
      <c r="L47" s="4"/>
      <c r="M47" s="4"/>
      <c r="N47" s="4"/>
      <c r="O47" s="4"/>
      <c r="P47" s="4"/>
      <c r="Q47" s="4"/>
      <c r="R47" s="1013"/>
    </row>
    <row r="48" spans="1:18" s="1014" customFormat="1">
      <c r="A48" s="4"/>
      <c r="B48" s="4"/>
      <c r="C48" s="4"/>
      <c r="D48" s="4"/>
      <c r="E48" s="4"/>
      <c r="F48" s="4"/>
      <c r="G48" s="4"/>
      <c r="H48" s="4"/>
      <c r="I48" s="4"/>
      <c r="J48" s="4"/>
      <c r="K48" s="4"/>
      <c r="L48" s="4"/>
      <c r="M48" s="4"/>
      <c r="N48" s="4"/>
      <c r="O48" s="4"/>
      <c r="P48" s="4"/>
      <c r="Q48" s="4"/>
      <c r="R48" s="1013"/>
    </row>
    <row r="49" spans="1:18" s="1014" customFormat="1">
      <c r="A49" s="4"/>
      <c r="B49" s="4"/>
      <c r="C49" s="4"/>
      <c r="D49" s="4"/>
      <c r="E49" s="4"/>
      <c r="F49" s="4"/>
      <c r="G49" s="4"/>
      <c r="H49" s="4"/>
      <c r="I49" s="4"/>
      <c r="J49" s="4"/>
      <c r="K49" s="4"/>
      <c r="L49" s="4"/>
      <c r="M49" s="4"/>
      <c r="N49" s="4"/>
      <c r="O49" s="4"/>
      <c r="P49" s="4"/>
      <c r="Q49" s="4"/>
      <c r="R49" s="1013"/>
    </row>
    <row r="50" spans="1:18" s="1014" customFormat="1">
      <c r="A50" s="4"/>
      <c r="B50" s="4"/>
      <c r="C50" s="4"/>
      <c r="D50" s="4"/>
      <c r="E50" s="4"/>
      <c r="F50" s="4"/>
      <c r="G50" s="4"/>
      <c r="H50" s="4"/>
      <c r="I50" s="4"/>
      <c r="J50" s="4"/>
      <c r="K50" s="4"/>
      <c r="L50" s="4"/>
      <c r="M50" s="4"/>
      <c r="N50" s="4"/>
      <c r="O50" s="4"/>
      <c r="P50" s="4"/>
      <c r="Q50" s="4"/>
      <c r="R50" s="1013"/>
    </row>
    <row r="51" spans="1:18" s="1014" customFormat="1">
      <c r="A51" s="4"/>
      <c r="B51" s="4"/>
      <c r="C51" s="4"/>
      <c r="D51" s="4"/>
      <c r="E51" s="4"/>
      <c r="F51" s="4"/>
      <c r="G51" s="4"/>
      <c r="H51" s="4"/>
      <c r="I51" s="4"/>
      <c r="J51" s="4"/>
      <c r="K51" s="4"/>
      <c r="L51" s="4"/>
      <c r="M51" s="4"/>
      <c r="N51" s="4"/>
      <c r="O51" s="4"/>
      <c r="P51" s="4"/>
      <c r="Q51" s="4"/>
      <c r="R51" s="1013"/>
    </row>
    <row r="52" spans="1:18" s="1014" customFormat="1">
      <c r="A52" s="4"/>
      <c r="B52" s="4"/>
      <c r="C52" s="4"/>
      <c r="D52" s="4"/>
      <c r="E52" s="4"/>
      <c r="F52" s="4"/>
      <c r="G52" s="4"/>
      <c r="H52" s="4"/>
      <c r="I52" s="4"/>
      <c r="J52" s="4"/>
      <c r="K52" s="4"/>
      <c r="L52" s="4"/>
      <c r="M52" s="4"/>
      <c r="N52" s="4"/>
      <c r="O52" s="4"/>
      <c r="P52" s="4"/>
      <c r="Q52" s="4"/>
      <c r="R52" s="1013"/>
    </row>
    <row r="53" spans="1:18" s="1014" customFormat="1">
      <c r="A53" s="4"/>
      <c r="B53" s="4"/>
      <c r="C53" s="4"/>
      <c r="D53" s="4"/>
      <c r="E53" s="4"/>
      <c r="F53" s="4"/>
      <c r="G53" s="4"/>
      <c r="H53" s="4"/>
      <c r="I53" s="4"/>
      <c r="J53" s="4"/>
      <c r="K53" s="4"/>
      <c r="L53" s="4"/>
      <c r="M53" s="4"/>
      <c r="N53" s="4"/>
      <c r="O53" s="4"/>
      <c r="P53" s="4"/>
      <c r="Q53" s="4"/>
      <c r="R53" s="1013"/>
    </row>
    <row r="54" spans="1:18" s="1014" customFormat="1">
      <c r="A54" s="4"/>
      <c r="B54" s="4"/>
      <c r="C54" s="4"/>
      <c r="D54" s="4"/>
      <c r="E54" s="4"/>
      <c r="F54" s="4"/>
      <c r="G54" s="4"/>
      <c r="H54" s="4"/>
      <c r="I54" s="4"/>
      <c r="J54" s="4"/>
      <c r="K54" s="4"/>
      <c r="L54" s="4"/>
      <c r="M54" s="4"/>
      <c r="N54" s="4"/>
      <c r="O54" s="4"/>
      <c r="P54" s="4"/>
      <c r="Q54" s="4"/>
      <c r="R54" s="1013"/>
    </row>
    <row r="55" spans="1:18" s="1014" customFormat="1">
      <c r="A55" s="4"/>
      <c r="B55" s="4"/>
      <c r="C55" s="4"/>
      <c r="D55" s="4"/>
      <c r="E55" s="4"/>
      <c r="F55" s="4"/>
      <c r="G55" s="4"/>
      <c r="H55" s="4"/>
      <c r="I55" s="4"/>
      <c r="J55" s="4"/>
      <c r="K55" s="4"/>
      <c r="L55" s="4"/>
      <c r="M55" s="4"/>
      <c r="N55" s="4"/>
      <c r="O55" s="4"/>
      <c r="P55" s="4"/>
      <c r="Q55" s="4"/>
      <c r="R55" s="1013"/>
    </row>
    <row r="56" spans="1:18" s="1014" customFormat="1">
      <c r="A56" s="4"/>
      <c r="B56" s="4"/>
      <c r="C56" s="4"/>
      <c r="D56" s="4"/>
      <c r="E56" s="4"/>
      <c r="F56" s="4"/>
      <c r="G56" s="4"/>
      <c r="H56" s="4"/>
      <c r="I56" s="4"/>
      <c r="J56" s="4"/>
      <c r="K56" s="4"/>
      <c r="L56" s="4"/>
      <c r="M56" s="4"/>
      <c r="N56" s="4"/>
      <c r="O56" s="4"/>
      <c r="P56" s="4"/>
      <c r="Q56" s="4"/>
      <c r="R56" s="1013"/>
    </row>
    <row r="57" spans="1:18" s="1014" customFormat="1">
      <c r="A57" s="4"/>
      <c r="B57" s="4"/>
      <c r="C57" s="4"/>
      <c r="D57" s="4"/>
      <c r="E57" s="4"/>
      <c r="F57" s="4"/>
      <c r="G57" s="4"/>
      <c r="H57" s="4"/>
      <c r="I57" s="4"/>
      <c r="J57" s="4"/>
      <c r="K57" s="4"/>
      <c r="L57" s="4"/>
      <c r="M57" s="4"/>
      <c r="N57" s="4"/>
      <c r="O57" s="4"/>
      <c r="P57" s="4"/>
      <c r="Q57" s="4"/>
      <c r="R57" s="1013"/>
    </row>
    <row r="58" spans="1:18" s="1014" customFormat="1">
      <c r="A58" s="4"/>
      <c r="B58" s="4"/>
      <c r="C58" s="4"/>
      <c r="D58" s="4"/>
      <c r="E58" s="4"/>
      <c r="F58" s="4"/>
      <c r="G58" s="4"/>
      <c r="H58" s="4"/>
      <c r="I58" s="4"/>
      <c r="J58" s="4"/>
      <c r="K58" s="4"/>
      <c r="L58" s="4"/>
      <c r="M58" s="4"/>
      <c r="N58" s="4"/>
      <c r="O58" s="4"/>
      <c r="P58" s="4"/>
      <c r="Q58" s="4"/>
      <c r="R58" s="1013"/>
    </row>
    <row r="59" spans="1:18" s="1014" customFormat="1">
      <c r="A59" s="4"/>
      <c r="B59" s="4"/>
      <c r="C59" s="4"/>
      <c r="D59" s="4"/>
      <c r="E59" s="4"/>
      <c r="F59" s="4"/>
      <c r="G59" s="4"/>
      <c r="H59" s="4"/>
      <c r="I59" s="4"/>
      <c r="J59" s="4"/>
      <c r="K59" s="4"/>
      <c r="L59" s="4"/>
      <c r="M59" s="4"/>
      <c r="N59" s="4"/>
      <c r="O59" s="4"/>
      <c r="P59" s="4"/>
      <c r="Q59" s="4"/>
      <c r="R59" s="1013"/>
    </row>
    <row r="60" spans="1:18" s="1014" customFormat="1">
      <c r="A60" s="4"/>
      <c r="B60" s="4"/>
      <c r="C60" s="4"/>
      <c r="D60" s="4"/>
      <c r="E60" s="4"/>
      <c r="F60" s="4"/>
      <c r="G60" s="4"/>
      <c r="H60" s="4"/>
      <c r="I60" s="4"/>
      <c r="J60" s="4"/>
      <c r="K60" s="4"/>
      <c r="L60" s="4"/>
      <c r="M60" s="4"/>
      <c r="N60" s="4"/>
      <c r="O60" s="4"/>
      <c r="P60" s="4"/>
      <c r="Q60" s="4"/>
      <c r="R60" s="1013"/>
    </row>
    <row r="61" spans="1:18" s="1014" customFormat="1">
      <c r="A61" s="4"/>
      <c r="B61" s="4"/>
      <c r="C61" s="4"/>
      <c r="D61" s="4"/>
      <c r="E61" s="4"/>
      <c r="F61" s="4"/>
      <c r="G61" s="4"/>
      <c r="H61" s="4"/>
      <c r="I61" s="4"/>
      <c r="J61" s="4"/>
      <c r="K61" s="4"/>
      <c r="L61" s="4"/>
      <c r="M61" s="4"/>
      <c r="N61" s="4"/>
      <c r="O61" s="4"/>
      <c r="P61" s="4"/>
      <c r="Q61" s="4"/>
      <c r="R61" s="1013"/>
    </row>
    <row r="62" spans="1:18" s="1014" customFormat="1">
      <c r="A62" s="4"/>
      <c r="B62" s="4"/>
      <c r="C62" s="4"/>
      <c r="D62" s="4"/>
      <c r="E62" s="4"/>
      <c r="F62" s="4"/>
      <c r="G62" s="4"/>
      <c r="H62" s="4"/>
      <c r="I62" s="4"/>
      <c r="J62" s="4"/>
      <c r="K62" s="4"/>
      <c r="L62" s="4"/>
      <c r="M62" s="4"/>
      <c r="N62" s="4"/>
      <c r="O62" s="4"/>
      <c r="P62" s="4"/>
      <c r="Q62" s="4"/>
      <c r="R62" s="1013"/>
    </row>
    <row r="63" spans="1:18" s="1014" customFormat="1">
      <c r="A63" s="4"/>
      <c r="B63" s="4"/>
      <c r="C63" s="4"/>
      <c r="D63" s="4"/>
      <c r="E63" s="4"/>
      <c r="F63" s="4"/>
      <c r="G63" s="4"/>
      <c r="H63" s="4"/>
      <c r="I63" s="4"/>
      <c r="J63" s="4"/>
      <c r="K63" s="4"/>
      <c r="L63" s="4"/>
      <c r="M63" s="4"/>
      <c r="N63" s="4"/>
      <c r="O63" s="4"/>
      <c r="P63" s="4"/>
      <c r="Q63" s="4"/>
      <c r="R63" s="1013"/>
    </row>
    <row r="64" spans="1:18" s="1014" customFormat="1">
      <c r="A64" s="4"/>
      <c r="B64" s="4"/>
      <c r="C64" s="4"/>
      <c r="D64" s="4"/>
      <c r="E64" s="4"/>
      <c r="F64" s="4"/>
      <c r="G64" s="4"/>
      <c r="H64" s="4"/>
      <c r="I64" s="4"/>
      <c r="J64" s="4"/>
      <c r="K64" s="4"/>
      <c r="L64" s="4"/>
      <c r="M64" s="4"/>
      <c r="N64" s="4"/>
      <c r="O64" s="4"/>
      <c r="P64" s="4"/>
      <c r="Q64" s="4"/>
      <c r="R64" s="1013"/>
    </row>
    <row r="65" spans="1:18" s="1014" customFormat="1">
      <c r="A65" s="4"/>
      <c r="B65" s="4"/>
      <c r="C65" s="4"/>
      <c r="D65" s="4"/>
      <c r="E65" s="4"/>
      <c r="F65" s="4"/>
      <c r="G65" s="4"/>
      <c r="H65" s="4"/>
      <c r="I65" s="4"/>
      <c r="J65" s="4"/>
      <c r="K65" s="4"/>
      <c r="L65" s="4"/>
      <c r="M65" s="4"/>
      <c r="N65" s="4"/>
      <c r="O65" s="4"/>
      <c r="P65" s="4"/>
      <c r="Q65" s="4"/>
      <c r="R65" s="1013"/>
    </row>
    <row r="66" spans="1:18" s="1014" customFormat="1">
      <c r="A66" s="4"/>
      <c r="B66" s="4"/>
      <c r="C66" s="4"/>
      <c r="D66" s="4"/>
      <c r="E66" s="4"/>
      <c r="F66" s="4"/>
      <c r="G66" s="4"/>
      <c r="H66" s="4"/>
      <c r="I66" s="4"/>
      <c r="J66" s="4"/>
      <c r="K66" s="4"/>
      <c r="L66" s="4"/>
      <c r="M66" s="4"/>
      <c r="N66" s="4"/>
      <c r="O66" s="4"/>
      <c r="P66" s="4"/>
      <c r="Q66" s="4"/>
      <c r="R66" s="1013"/>
    </row>
    <row r="67" spans="1:18" s="1014" customFormat="1">
      <c r="A67" s="4"/>
      <c r="B67" s="4"/>
      <c r="C67" s="4"/>
      <c r="D67" s="4"/>
      <c r="E67" s="4"/>
      <c r="F67" s="4"/>
      <c r="G67" s="4"/>
      <c r="H67" s="4"/>
      <c r="I67" s="4"/>
      <c r="J67" s="4"/>
      <c r="K67" s="4"/>
      <c r="L67" s="4"/>
      <c r="M67" s="4"/>
      <c r="N67" s="4"/>
      <c r="O67" s="4"/>
      <c r="P67" s="4"/>
      <c r="Q67" s="4"/>
      <c r="R67" s="1013"/>
    </row>
    <row r="68" spans="1:18" s="1014" customFormat="1">
      <c r="A68" s="4"/>
      <c r="B68" s="4"/>
      <c r="C68" s="4"/>
      <c r="D68" s="4"/>
      <c r="E68" s="4"/>
      <c r="F68" s="4"/>
      <c r="G68" s="4"/>
      <c r="H68" s="4"/>
      <c r="I68" s="4"/>
      <c r="J68" s="4"/>
      <c r="K68" s="4"/>
      <c r="L68" s="4"/>
      <c r="M68" s="4"/>
      <c r="N68" s="4"/>
      <c r="O68" s="4"/>
      <c r="P68" s="4"/>
      <c r="Q68" s="4"/>
      <c r="R68" s="1013"/>
    </row>
    <row r="69" spans="1:18" s="1014" customFormat="1">
      <c r="A69" s="4"/>
      <c r="B69" s="4"/>
      <c r="C69" s="4"/>
      <c r="D69" s="4"/>
      <c r="E69" s="4"/>
      <c r="F69" s="4"/>
      <c r="G69" s="4"/>
      <c r="H69" s="4"/>
      <c r="I69" s="4"/>
      <c r="J69" s="4"/>
      <c r="K69" s="4"/>
      <c r="L69" s="4"/>
      <c r="M69" s="4"/>
      <c r="N69" s="4"/>
      <c r="O69" s="4"/>
      <c r="P69" s="4"/>
      <c r="Q69" s="4"/>
      <c r="R69" s="1013"/>
    </row>
    <row r="70" spans="1:18" s="1014" customFormat="1">
      <c r="A70" s="4"/>
      <c r="B70" s="4"/>
      <c r="C70" s="4"/>
      <c r="D70" s="4"/>
      <c r="E70" s="4"/>
      <c r="F70" s="4"/>
      <c r="G70" s="4"/>
      <c r="H70" s="4"/>
      <c r="I70" s="4"/>
      <c r="J70" s="4"/>
      <c r="K70" s="4"/>
      <c r="L70" s="4"/>
      <c r="M70" s="4"/>
      <c r="N70" s="4"/>
      <c r="O70" s="4"/>
      <c r="P70" s="4"/>
      <c r="Q70" s="4"/>
      <c r="R70" s="1013"/>
    </row>
    <row r="71" spans="1:18" s="1014" customFormat="1">
      <c r="A71" s="4"/>
      <c r="B71" s="4"/>
      <c r="C71" s="4"/>
      <c r="D71" s="4"/>
      <c r="E71" s="4"/>
      <c r="F71" s="4"/>
      <c r="G71" s="4"/>
      <c r="H71" s="4"/>
      <c r="I71" s="4"/>
      <c r="J71" s="4"/>
      <c r="K71" s="4"/>
      <c r="L71" s="4"/>
      <c r="M71" s="4"/>
      <c r="N71" s="4"/>
      <c r="O71" s="4"/>
      <c r="P71" s="4"/>
      <c r="Q71" s="4"/>
      <c r="R71" s="1013"/>
    </row>
    <row r="72" spans="1:18" s="1014" customFormat="1">
      <c r="A72" s="4"/>
      <c r="B72" s="4"/>
      <c r="C72" s="4"/>
      <c r="D72" s="4"/>
      <c r="E72" s="4"/>
      <c r="F72" s="4"/>
      <c r="G72" s="4"/>
      <c r="H72" s="4"/>
      <c r="I72" s="4"/>
      <c r="J72" s="4"/>
      <c r="K72" s="4"/>
      <c r="L72" s="4"/>
      <c r="M72" s="4"/>
      <c r="N72" s="4"/>
      <c r="O72" s="4"/>
      <c r="P72" s="4"/>
      <c r="Q72" s="4"/>
      <c r="R72" s="1013"/>
    </row>
    <row r="73" spans="1:18" s="1014" customFormat="1">
      <c r="A73" s="4"/>
      <c r="B73" s="4"/>
      <c r="C73" s="4"/>
      <c r="D73" s="4"/>
      <c r="E73" s="4"/>
      <c r="F73" s="4"/>
      <c r="G73" s="4"/>
      <c r="H73" s="4"/>
      <c r="I73" s="4"/>
      <c r="J73" s="4"/>
      <c r="K73" s="4"/>
      <c r="L73" s="4"/>
      <c r="M73" s="4"/>
      <c r="N73" s="4"/>
      <c r="O73" s="4"/>
      <c r="P73" s="4"/>
      <c r="Q73" s="4"/>
      <c r="R73" s="1013"/>
    </row>
    <row r="74" spans="1:18" s="1013" customFormat="1"/>
    <row r="75" spans="1:18" s="1014" customFormat="1">
      <c r="R75" s="1013"/>
    </row>
    <row r="76" spans="1:18" s="1014" customFormat="1">
      <c r="R76" s="1013"/>
    </row>
    <row r="77" spans="1:18" s="1014" customFormat="1">
      <c r="R77" s="1013"/>
    </row>
    <row r="78" spans="1:18" s="1014" customFormat="1">
      <c r="R78" s="1013"/>
    </row>
    <row r="79" spans="1:18" s="1014" customFormat="1">
      <c r="R79" s="1013"/>
    </row>
    <row r="80" spans="1:18" s="1014" customFormat="1">
      <c r="R80" s="1013"/>
    </row>
    <row r="81" spans="18:18" s="1014" customFormat="1">
      <c r="R81" s="1013"/>
    </row>
    <row r="82" spans="18:18" s="1014" customFormat="1">
      <c r="R82" s="1013"/>
    </row>
    <row r="83" spans="18:18" s="1014" customFormat="1">
      <c r="R83" s="1013"/>
    </row>
    <row r="84" spans="18:18" s="1014" customFormat="1">
      <c r="R84" s="1013"/>
    </row>
    <row r="85" spans="18:18" s="1014" customFormat="1">
      <c r="R85" s="1013"/>
    </row>
    <row r="86" spans="18:18" s="1014" customFormat="1">
      <c r="R86" s="1013"/>
    </row>
    <row r="87" spans="18:18" s="1014" customFormat="1">
      <c r="R87" s="1013"/>
    </row>
    <row r="88" spans="18:18" s="1014" customFormat="1">
      <c r="R88" s="1013"/>
    </row>
    <row r="89" spans="18:18" s="1014" customFormat="1">
      <c r="R89" s="1013"/>
    </row>
    <row r="90" spans="18:18" s="1014" customFormat="1">
      <c r="R90" s="1013"/>
    </row>
    <row r="91" spans="18:18" s="1014" customFormat="1">
      <c r="R91" s="1013"/>
    </row>
    <row r="92" spans="18:18" s="1014" customFormat="1">
      <c r="R92" s="1013"/>
    </row>
    <row r="93" spans="18:18" s="1014" customFormat="1">
      <c r="R93" s="1013"/>
    </row>
    <row r="94" spans="18:18" s="1014" customFormat="1">
      <c r="R94" s="1013"/>
    </row>
    <row r="95" spans="18:18" s="1014" customFormat="1">
      <c r="R95" s="1013"/>
    </row>
    <row r="96" spans="18:18" s="1014" customFormat="1">
      <c r="R96" s="1013"/>
    </row>
    <row r="97" spans="18:18" s="1014" customFormat="1">
      <c r="R97" s="1013"/>
    </row>
    <row r="98" spans="18:18" s="1014" customFormat="1">
      <c r="R98" s="1013"/>
    </row>
    <row r="99" spans="18:18" s="1014" customFormat="1">
      <c r="R99" s="1013"/>
    </row>
    <row r="100" spans="18:18" s="1014" customFormat="1">
      <c r="R100" s="1013"/>
    </row>
    <row r="101" spans="18:18" s="1014" customFormat="1">
      <c r="R101" s="1013"/>
    </row>
    <row r="102" spans="18:18" s="1014" customFormat="1">
      <c r="R102" s="1013"/>
    </row>
    <row r="103" spans="18:18" s="1014" customFormat="1">
      <c r="R103" s="1013"/>
    </row>
    <row r="104" spans="18:18" s="1014" customFormat="1">
      <c r="R104" s="1013"/>
    </row>
    <row r="105" spans="18:18" s="1014" customFormat="1">
      <c r="R105" s="1013"/>
    </row>
    <row r="106" spans="18:18" s="1014" customFormat="1">
      <c r="R106" s="1013"/>
    </row>
    <row r="107" spans="18:18" s="1014" customFormat="1">
      <c r="R107" s="1013"/>
    </row>
    <row r="108" spans="18:18" s="1014" customFormat="1">
      <c r="R108" s="1013"/>
    </row>
    <row r="109" spans="18:18" s="1014" customFormat="1">
      <c r="R109" s="1013"/>
    </row>
    <row r="110" spans="18:18" s="1014" customFormat="1">
      <c r="R110" s="1013"/>
    </row>
    <row r="111" spans="18:18" s="1014" customFormat="1">
      <c r="R111" s="1013"/>
    </row>
    <row r="112" spans="18:18" s="1014" customFormat="1">
      <c r="R112" s="1013"/>
    </row>
    <row r="113" spans="18:18" s="1014" customFormat="1">
      <c r="R113" s="1013"/>
    </row>
    <row r="114" spans="18:18" s="1014" customFormat="1">
      <c r="R114" s="1013"/>
    </row>
    <row r="115" spans="18:18" s="1014" customFormat="1">
      <c r="R115" s="1013"/>
    </row>
    <row r="116" spans="18:18" s="1014" customFormat="1">
      <c r="R116" s="1013"/>
    </row>
    <row r="117" spans="18:18" s="1014" customFormat="1">
      <c r="R117" s="1013"/>
    </row>
    <row r="118" spans="18:18" s="1014" customFormat="1">
      <c r="R118" s="1013"/>
    </row>
    <row r="119" spans="18:18" s="1014" customFormat="1">
      <c r="R119" s="1013"/>
    </row>
    <row r="120" spans="18:18" s="1014" customFormat="1">
      <c r="R120" s="1013"/>
    </row>
    <row r="121" spans="18:18" s="1014" customFormat="1">
      <c r="R121" s="1013"/>
    </row>
    <row r="122" spans="18:18" s="1014" customFormat="1">
      <c r="R122" s="1013"/>
    </row>
    <row r="123" spans="18:18" s="1014" customFormat="1">
      <c r="R123" s="1013"/>
    </row>
    <row r="124" spans="18:18" s="1014" customFormat="1">
      <c r="R124" s="1013"/>
    </row>
    <row r="125" spans="18:18" s="1014" customFormat="1">
      <c r="R125" s="1013"/>
    </row>
    <row r="126" spans="18:18" s="1014" customFormat="1">
      <c r="R126" s="1013"/>
    </row>
    <row r="127" spans="18:18" s="1014" customFormat="1">
      <c r="R127" s="1013"/>
    </row>
    <row r="128" spans="18:18" s="1014" customFormat="1">
      <c r="R128" s="1013"/>
    </row>
    <row r="129" spans="18:18" s="1014" customFormat="1">
      <c r="R129" s="1013"/>
    </row>
    <row r="130" spans="18:18" s="1014" customFormat="1">
      <c r="R130" s="1013"/>
    </row>
    <row r="131" spans="18:18" s="1014" customFormat="1">
      <c r="R131" s="1013"/>
    </row>
    <row r="132" spans="18:18" s="1014" customFormat="1">
      <c r="R132" s="1013"/>
    </row>
    <row r="133" spans="18:18" s="1014" customFormat="1">
      <c r="R133" s="1013"/>
    </row>
    <row r="134" spans="18:18" s="1014" customFormat="1">
      <c r="R134" s="1013"/>
    </row>
    <row r="135" spans="18:18" s="1014" customFormat="1">
      <c r="R135" s="1013"/>
    </row>
    <row r="136" spans="18:18" s="1014" customFormat="1">
      <c r="R136" s="1013"/>
    </row>
    <row r="137" spans="18:18" s="1014" customFormat="1">
      <c r="R137" s="1013"/>
    </row>
    <row r="138" spans="18:18" s="1014" customFormat="1">
      <c r="R138" s="1013"/>
    </row>
    <row r="139" spans="18:18" s="1014" customFormat="1">
      <c r="R139" s="1013"/>
    </row>
    <row r="140" spans="18:18" s="1014" customFormat="1">
      <c r="R140" s="1013"/>
    </row>
    <row r="141" spans="18:18" s="1014" customFormat="1">
      <c r="R141" s="1013"/>
    </row>
    <row r="142" spans="18:18" s="1014" customFormat="1">
      <c r="R142" s="1013"/>
    </row>
    <row r="143" spans="18:18" s="1014" customFormat="1">
      <c r="R143" s="1013"/>
    </row>
    <row r="144" spans="18:18" s="1014" customFormat="1">
      <c r="R144" s="1013"/>
    </row>
    <row r="145" spans="18:18" s="1014" customFormat="1">
      <c r="R145" s="1013"/>
    </row>
    <row r="146" spans="18:18" s="1014" customFormat="1">
      <c r="R146" s="1013"/>
    </row>
    <row r="147" spans="18:18" s="1014" customFormat="1">
      <c r="R147" s="1013"/>
    </row>
    <row r="148" spans="18:18" s="1014" customFormat="1">
      <c r="R148" s="1013"/>
    </row>
    <row r="149" spans="18:18" s="1014" customFormat="1">
      <c r="R149" s="1013"/>
    </row>
    <row r="150" spans="18:18" s="1014" customFormat="1">
      <c r="R150" s="1013"/>
    </row>
    <row r="151" spans="18:18" s="1014" customFormat="1">
      <c r="R151" s="1013"/>
    </row>
    <row r="152" spans="18:18" s="1014" customFormat="1">
      <c r="R152" s="1013"/>
    </row>
    <row r="153" spans="18:18" s="1014" customFormat="1">
      <c r="R153" s="1013"/>
    </row>
    <row r="154" spans="18:18" s="1014" customFormat="1">
      <c r="R154" s="1013"/>
    </row>
    <row r="155" spans="18:18" s="1014" customFormat="1">
      <c r="R155" s="1013"/>
    </row>
    <row r="156" spans="18:18" s="1014" customFormat="1">
      <c r="R156" s="1013"/>
    </row>
    <row r="157" spans="18:18" s="1014" customFormat="1">
      <c r="R157" s="1013"/>
    </row>
    <row r="158" spans="18:18" s="1014" customFormat="1">
      <c r="R158" s="1013"/>
    </row>
    <row r="159" spans="18:18" s="1014" customFormat="1">
      <c r="R159" s="1013"/>
    </row>
    <row r="160" spans="18:18" s="1014" customFormat="1">
      <c r="R160" s="1013"/>
    </row>
    <row r="161" spans="18:18" s="1014" customFormat="1">
      <c r="R161" s="1013"/>
    </row>
    <row r="162" spans="18:18" s="1014" customFormat="1">
      <c r="R162" s="1013"/>
    </row>
    <row r="163" spans="18:18" s="1014" customFormat="1">
      <c r="R163" s="1013"/>
    </row>
    <row r="164" spans="18:18" s="1014" customFormat="1">
      <c r="R164" s="1013"/>
    </row>
    <row r="165" spans="18:18" s="1014" customFormat="1">
      <c r="R165" s="1013"/>
    </row>
    <row r="166" spans="18:18" s="1014" customFormat="1">
      <c r="R166" s="1013"/>
    </row>
    <row r="167" spans="18:18" s="1014" customFormat="1">
      <c r="R167" s="1013"/>
    </row>
    <row r="168" spans="18:18" s="1014" customFormat="1">
      <c r="R168" s="1013"/>
    </row>
    <row r="169" spans="18:18" s="1014" customFormat="1">
      <c r="R169" s="1013"/>
    </row>
    <row r="170" spans="18:18" s="1014" customFormat="1">
      <c r="R170" s="1013"/>
    </row>
    <row r="171" spans="18:18" s="1014" customFormat="1">
      <c r="R171" s="1013"/>
    </row>
    <row r="172" spans="18:18" s="1014" customFormat="1">
      <c r="R172" s="1013"/>
    </row>
    <row r="173" spans="18:18" s="1014" customFormat="1">
      <c r="R173" s="1013"/>
    </row>
    <row r="174" spans="18:18" s="1014" customFormat="1">
      <c r="R174" s="1013"/>
    </row>
    <row r="175" spans="18:18" s="1014" customFormat="1">
      <c r="R175" s="1013"/>
    </row>
    <row r="176" spans="18:18" s="1014" customFormat="1">
      <c r="R176" s="1013"/>
    </row>
    <row r="177" spans="18:18" s="1014" customFormat="1">
      <c r="R177" s="1013"/>
    </row>
    <row r="178" spans="18:18" s="1014" customFormat="1">
      <c r="R178" s="1013"/>
    </row>
    <row r="179" spans="18:18" s="1014" customFormat="1">
      <c r="R179" s="1013"/>
    </row>
    <row r="180" spans="18:18" s="1014" customFormat="1">
      <c r="R180" s="1013"/>
    </row>
    <row r="181" spans="18:18" s="1014" customFormat="1">
      <c r="R181" s="1013"/>
    </row>
    <row r="182" spans="18:18" s="1014" customFormat="1">
      <c r="R182" s="1013"/>
    </row>
    <row r="183" spans="18:18" s="1014" customFormat="1">
      <c r="R183" s="1013"/>
    </row>
    <row r="184" spans="18:18" s="1014" customFormat="1">
      <c r="R184" s="1013"/>
    </row>
    <row r="185" spans="18:18" s="1014" customFormat="1">
      <c r="R185" s="1013"/>
    </row>
    <row r="186" spans="18:18" s="1014" customFormat="1">
      <c r="R186" s="1013"/>
    </row>
    <row r="187" spans="18:18" s="1014" customFormat="1">
      <c r="R187" s="1013"/>
    </row>
    <row r="188" spans="18:18" s="1014" customFormat="1">
      <c r="R188" s="1013"/>
    </row>
    <row r="189" spans="18:18" s="1014" customFormat="1">
      <c r="R189" s="1013"/>
    </row>
    <row r="190" spans="18:18" s="1014" customFormat="1">
      <c r="R190" s="1013"/>
    </row>
    <row r="191" spans="18:18" s="1014" customFormat="1">
      <c r="R191" s="1013"/>
    </row>
    <row r="192" spans="18:18" s="1014" customFormat="1">
      <c r="R192" s="1013"/>
    </row>
    <row r="193" spans="18:18" s="1014" customFormat="1">
      <c r="R193" s="1013"/>
    </row>
    <row r="194" spans="18:18" s="1014" customFormat="1">
      <c r="R194" s="1013"/>
    </row>
    <row r="195" spans="18:18" s="1014" customFormat="1">
      <c r="R195" s="1013"/>
    </row>
    <row r="196" spans="18:18" s="1014" customFormat="1">
      <c r="R196" s="1013"/>
    </row>
    <row r="197" spans="18:18" s="1014" customFormat="1">
      <c r="R197" s="1013"/>
    </row>
    <row r="198" spans="18:18" s="1014" customFormat="1">
      <c r="R198" s="1013"/>
    </row>
    <row r="199" spans="18:18" s="1014" customFormat="1">
      <c r="R199" s="1013"/>
    </row>
    <row r="200" spans="18:18" s="1014" customFormat="1">
      <c r="R200" s="1013"/>
    </row>
    <row r="201" spans="18:18" s="1014" customFormat="1">
      <c r="R201" s="1013"/>
    </row>
    <row r="202" spans="18:18" s="1014" customFormat="1">
      <c r="R202" s="1013"/>
    </row>
    <row r="203" spans="18:18" s="1014" customFormat="1">
      <c r="R203" s="1013"/>
    </row>
    <row r="204" spans="18:18" s="1014" customFormat="1">
      <c r="R204" s="1013"/>
    </row>
    <row r="205" spans="18:18" s="1014" customFormat="1">
      <c r="R205" s="1013"/>
    </row>
    <row r="206" spans="18:18" s="1014" customFormat="1">
      <c r="R206" s="1013"/>
    </row>
    <row r="207" spans="18:18" s="1014" customFormat="1">
      <c r="R207" s="1013"/>
    </row>
    <row r="208" spans="18:18" s="1014" customFormat="1">
      <c r="R208" s="1013"/>
    </row>
    <row r="209" spans="18:18" s="1014" customFormat="1">
      <c r="R209" s="1013"/>
    </row>
    <row r="210" spans="18:18" s="1014" customFormat="1">
      <c r="R210" s="1013"/>
    </row>
    <row r="211" spans="18:18" s="1014" customFormat="1">
      <c r="R211" s="1013"/>
    </row>
    <row r="212" spans="18:18" s="1014" customFormat="1">
      <c r="R212" s="1013"/>
    </row>
    <row r="213" spans="18:18" s="1014" customFormat="1">
      <c r="R213" s="1013"/>
    </row>
    <row r="214" spans="18:18" s="1014" customFormat="1">
      <c r="R214" s="1013"/>
    </row>
    <row r="215" spans="18:18" s="1014" customFormat="1">
      <c r="R215" s="1013"/>
    </row>
    <row r="216" spans="18:18" s="1014" customFormat="1">
      <c r="R216" s="1013"/>
    </row>
    <row r="217" spans="18:18" s="1014" customFormat="1">
      <c r="R217" s="1013"/>
    </row>
    <row r="218" spans="18:18" s="1014" customFormat="1">
      <c r="R218" s="1013"/>
    </row>
    <row r="219" spans="18:18" s="1014" customFormat="1">
      <c r="R219" s="1013"/>
    </row>
    <row r="220" spans="18:18" s="1014" customFormat="1">
      <c r="R220" s="1013"/>
    </row>
    <row r="221" spans="18:18" s="1014" customFormat="1">
      <c r="R221" s="1013"/>
    </row>
    <row r="222" spans="18:18" s="1014" customFormat="1">
      <c r="R222" s="1013"/>
    </row>
    <row r="223" spans="18:18" s="1014" customFormat="1">
      <c r="R223" s="1013"/>
    </row>
    <row r="224" spans="18:18" s="1014" customFormat="1">
      <c r="R224" s="1013"/>
    </row>
    <row r="225" spans="18:18" s="1014" customFormat="1">
      <c r="R225" s="1013"/>
    </row>
    <row r="226" spans="18:18" s="1014" customFormat="1">
      <c r="R226" s="1013"/>
    </row>
    <row r="227" spans="18:18" s="1014" customFormat="1">
      <c r="R227" s="1013"/>
    </row>
    <row r="228" spans="18:18" s="1014" customFormat="1">
      <c r="R228" s="1013"/>
    </row>
    <row r="229" spans="18:18" s="1014" customFormat="1">
      <c r="R229" s="1013"/>
    </row>
    <row r="230" spans="18:18" s="1014" customFormat="1">
      <c r="R230" s="1013"/>
    </row>
    <row r="231" spans="18:18" s="1014" customFormat="1">
      <c r="R231" s="1013"/>
    </row>
    <row r="232" spans="18:18" s="1014" customFormat="1">
      <c r="R232" s="1013"/>
    </row>
    <row r="233" spans="18:18" s="1014" customFormat="1">
      <c r="R233" s="1013"/>
    </row>
    <row r="234" spans="18:18" s="1014" customFormat="1">
      <c r="R234" s="1013"/>
    </row>
    <row r="235" spans="18:18" s="1014" customFormat="1">
      <c r="R235" s="1013"/>
    </row>
    <row r="236" spans="18:18" s="1014" customFormat="1">
      <c r="R236" s="1013"/>
    </row>
    <row r="237" spans="18:18" s="1014" customFormat="1">
      <c r="R237" s="1013"/>
    </row>
    <row r="238" spans="18:18" s="1014" customFormat="1">
      <c r="R238" s="1013"/>
    </row>
    <row r="239" spans="18:18" s="1014" customFormat="1">
      <c r="R239" s="1013"/>
    </row>
    <row r="240" spans="18:18" s="1014" customFormat="1">
      <c r="R240" s="1013"/>
    </row>
    <row r="241" spans="18:18" s="1014" customFormat="1">
      <c r="R241" s="1013"/>
    </row>
    <row r="242" spans="18:18" s="1014" customFormat="1">
      <c r="R242" s="1013"/>
    </row>
    <row r="243" spans="18:18" s="1014" customFormat="1">
      <c r="R243" s="1013"/>
    </row>
    <row r="244" spans="18:18" s="1014" customFormat="1">
      <c r="R244" s="1013"/>
    </row>
    <row r="245" spans="18:18" s="1014" customFormat="1">
      <c r="R245" s="1013"/>
    </row>
    <row r="246" spans="18:18" s="1014" customFormat="1">
      <c r="R246" s="1013"/>
    </row>
    <row r="247" spans="18:18" s="1014" customFormat="1">
      <c r="R247" s="1013"/>
    </row>
    <row r="248" spans="18:18" s="1014" customFormat="1">
      <c r="R248" s="1013"/>
    </row>
    <row r="249" spans="18:18" s="1014" customFormat="1">
      <c r="R249" s="1013"/>
    </row>
    <row r="250" spans="18:18" s="1014" customFormat="1">
      <c r="R250" s="1013"/>
    </row>
    <row r="251" spans="18:18" s="1014" customFormat="1">
      <c r="R251" s="1013"/>
    </row>
    <row r="252" spans="18:18" s="1014" customFormat="1">
      <c r="R252" s="1013"/>
    </row>
    <row r="253" spans="18:18" s="1014" customFormat="1">
      <c r="R253" s="1013"/>
    </row>
    <row r="254" spans="18:18" s="1014" customFormat="1">
      <c r="R254" s="1013"/>
    </row>
    <row r="255" spans="18:18" s="1014" customFormat="1">
      <c r="R255" s="1013"/>
    </row>
    <row r="256" spans="18:18" s="1014" customFormat="1">
      <c r="R256" s="1013"/>
    </row>
    <row r="257" spans="18:18" s="1014" customFormat="1">
      <c r="R257" s="1013"/>
    </row>
    <row r="258" spans="18:18" s="1014" customFormat="1">
      <c r="R258" s="1013"/>
    </row>
    <row r="259" spans="18:18" s="1014" customFormat="1">
      <c r="R259" s="1013"/>
    </row>
    <row r="260" spans="18:18" s="1014" customFormat="1">
      <c r="R260" s="1013"/>
    </row>
    <row r="261" spans="18:18" s="1014" customFormat="1">
      <c r="R261" s="1013"/>
    </row>
    <row r="262" spans="18:18" s="1014" customFormat="1">
      <c r="R262" s="1013"/>
    </row>
    <row r="263" spans="18:18" s="1014" customFormat="1">
      <c r="R263" s="1013"/>
    </row>
    <row r="264" spans="18:18" s="1014" customFormat="1">
      <c r="R264" s="1013"/>
    </row>
    <row r="265" spans="18:18" s="1014" customFormat="1">
      <c r="R265" s="1013"/>
    </row>
    <row r="266" spans="18:18" s="1014" customFormat="1">
      <c r="R266" s="1013"/>
    </row>
    <row r="267" spans="18:18" s="1014" customFormat="1">
      <c r="R267" s="1013"/>
    </row>
    <row r="268" spans="18:18" s="1014" customFormat="1">
      <c r="R268" s="1013"/>
    </row>
    <row r="269" spans="18:18" s="1014" customFormat="1">
      <c r="R269" s="1013"/>
    </row>
    <row r="270" spans="18:18" s="1014" customFormat="1">
      <c r="R270" s="1013"/>
    </row>
    <row r="271" spans="18:18" s="1014" customFormat="1">
      <c r="R271" s="1013"/>
    </row>
    <row r="272" spans="18:18" s="1014" customFormat="1">
      <c r="R272" s="1013"/>
    </row>
    <row r="273" spans="18:18" s="1014" customFormat="1">
      <c r="R273" s="1013"/>
    </row>
    <row r="274" spans="18:18" s="1014" customFormat="1">
      <c r="R274" s="1013"/>
    </row>
    <row r="275" spans="18:18" s="1014" customFormat="1">
      <c r="R275" s="1013"/>
    </row>
    <row r="276" spans="18:18" s="1014" customFormat="1">
      <c r="R276" s="1013"/>
    </row>
    <row r="277" spans="18:18" s="1014" customFormat="1">
      <c r="R277" s="1013"/>
    </row>
    <row r="278" spans="18:18" s="1014" customFormat="1">
      <c r="R278" s="1013"/>
    </row>
    <row r="279" spans="18:18" s="1014" customFormat="1">
      <c r="R279" s="1013"/>
    </row>
    <row r="280" spans="18:18" s="1014" customFormat="1">
      <c r="R280" s="1013"/>
    </row>
    <row r="281" spans="18:18" s="1014" customFormat="1">
      <c r="R281" s="1013"/>
    </row>
    <row r="282" spans="18:18" s="1014" customFormat="1">
      <c r="R282" s="1013"/>
    </row>
    <row r="283" spans="18:18" s="1014" customFormat="1">
      <c r="R283" s="1013"/>
    </row>
    <row r="284" spans="18:18" s="1014" customFormat="1">
      <c r="R284" s="1013"/>
    </row>
    <row r="285" spans="18:18" s="1014" customFormat="1">
      <c r="R285" s="1013"/>
    </row>
    <row r="286" spans="18:18" s="1014" customFormat="1">
      <c r="R286" s="1013"/>
    </row>
    <row r="287" spans="18:18" s="1014" customFormat="1">
      <c r="R287" s="1013"/>
    </row>
    <row r="288" spans="18:18" s="1014" customFormat="1">
      <c r="R288" s="1013"/>
    </row>
    <row r="289" spans="18:18" s="1014" customFormat="1">
      <c r="R289" s="1013"/>
    </row>
    <row r="290" spans="18:18" s="1014" customFormat="1">
      <c r="R290" s="1013"/>
    </row>
    <row r="291" spans="18:18" s="1014" customFormat="1">
      <c r="R291" s="1013"/>
    </row>
    <row r="292" spans="18:18" s="1014" customFormat="1">
      <c r="R292" s="1013"/>
    </row>
    <row r="293" spans="18:18" s="1014" customFormat="1">
      <c r="R293" s="1013"/>
    </row>
    <row r="294" spans="18:18" s="1014" customFormat="1">
      <c r="R294" s="1013"/>
    </row>
    <row r="295" spans="18:18" s="1014" customFormat="1">
      <c r="R295" s="1013"/>
    </row>
    <row r="296" spans="18:18" s="1014" customFormat="1">
      <c r="R296" s="1013"/>
    </row>
    <row r="297" spans="18:18" s="1014" customFormat="1">
      <c r="R297" s="1013"/>
    </row>
    <row r="298" spans="18:18" s="1014" customFormat="1">
      <c r="R298" s="1013"/>
    </row>
    <row r="299" spans="18:18" s="1014" customFormat="1">
      <c r="R299" s="1013"/>
    </row>
    <row r="300" spans="18:18" s="1014" customFormat="1">
      <c r="R300" s="1013"/>
    </row>
    <row r="301" spans="18:18" s="1014" customFormat="1">
      <c r="R301" s="1013"/>
    </row>
    <row r="302" spans="18:18" s="1014" customFormat="1">
      <c r="R302" s="1013"/>
    </row>
    <row r="303" spans="18:18" s="1014" customFormat="1">
      <c r="R303" s="1013"/>
    </row>
    <row r="304" spans="18:18" s="1014" customFormat="1">
      <c r="R304" s="1013"/>
    </row>
    <row r="305" spans="18:18" s="1014" customFormat="1">
      <c r="R305" s="1013"/>
    </row>
    <row r="306" spans="18:18" s="1014" customFormat="1">
      <c r="R306" s="1013"/>
    </row>
    <row r="307" spans="18:18" s="1014" customFormat="1">
      <c r="R307" s="1013"/>
    </row>
    <row r="308" spans="18:18" s="1014" customFormat="1">
      <c r="R308" s="1013"/>
    </row>
    <row r="309" spans="18:18" s="1014" customFormat="1">
      <c r="R309" s="1013"/>
    </row>
    <row r="310" spans="18:18" s="1014" customFormat="1">
      <c r="R310" s="1013"/>
    </row>
    <row r="311" spans="18:18" s="1014" customFormat="1">
      <c r="R311" s="1013"/>
    </row>
    <row r="312" spans="18:18" s="1014" customFormat="1">
      <c r="R312" s="1013"/>
    </row>
    <row r="313" spans="18:18" s="1014" customFormat="1">
      <c r="R313" s="1013"/>
    </row>
    <row r="314" spans="18:18" s="1014" customFormat="1">
      <c r="R314" s="1013"/>
    </row>
    <row r="315" spans="18:18" s="1014" customFormat="1">
      <c r="R315" s="1013"/>
    </row>
    <row r="316" spans="18:18" s="1014" customFormat="1">
      <c r="R316" s="1013"/>
    </row>
    <row r="317" spans="18:18" s="1014" customFormat="1">
      <c r="R317" s="1013"/>
    </row>
    <row r="318" spans="18:18" s="1014" customFormat="1">
      <c r="R318" s="1013"/>
    </row>
    <row r="319" spans="18:18" s="1014" customFormat="1">
      <c r="R319" s="1013"/>
    </row>
    <row r="320" spans="18:18" s="1014" customFormat="1">
      <c r="R320" s="1013"/>
    </row>
    <row r="321" spans="18:18" s="1014" customFormat="1">
      <c r="R321" s="1013"/>
    </row>
    <row r="322" spans="18:18" s="1014" customFormat="1">
      <c r="R322" s="1013"/>
    </row>
    <row r="323" spans="18:18" s="1014" customFormat="1">
      <c r="R323" s="1013"/>
    </row>
    <row r="324" spans="18:18" s="1014" customFormat="1">
      <c r="R324" s="1013"/>
    </row>
    <row r="325" spans="18:18" s="1014" customFormat="1">
      <c r="R325" s="1013"/>
    </row>
    <row r="326" spans="18:18" s="1014" customFormat="1">
      <c r="R326" s="1013"/>
    </row>
    <row r="327" spans="18:18" s="1014" customFormat="1">
      <c r="R327" s="1013"/>
    </row>
    <row r="328" spans="18:18" s="1014" customFormat="1">
      <c r="R328" s="1013"/>
    </row>
    <row r="329" spans="18:18" s="1014" customFormat="1">
      <c r="R329" s="1013"/>
    </row>
    <row r="330" spans="18:18" s="1014" customFormat="1">
      <c r="R330" s="1013"/>
    </row>
    <row r="331" spans="18:18" s="1014" customFormat="1">
      <c r="R331" s="1013"/>
    </row>
    <row r="332" spans="18:18" s="1014" customFormat="1">
      <c r="R332" s="1013"/>
    </row>
    <row r="333" spans="18:18" s="1014" customFormat="1">
      <c r="R333" s="1013"/>
    </row>
    <row r="334" spans="18:18" s="1014" customFormat="1">
      <c r="R334" s="1013"/>
    </row>
    <row r="335" spans="18:18" s="1014" customFormat="1">
      <c r="R335" s="1013"/>
    </row>
    <row r="336" spans="18:18" s="1014" customFormat="1">
      <c r="R336" s="1013"/>
    </row>
    <row r="337" spans="18:18" s="1014" customFormat="1">
      <c r="R337" s="1013"/>
    </row>
    <row r="338" spans="18:18" s="1014" customFormat="1">
      <c r="R338" s="1013"/>
    </row>
    <row r="339" spans="18:18" s="1014" customFormat="1">
      <c r="R339" s="1013"/>
    </row>
    <row r="340" spans="18:18" s="1014" customFormat="1">
      <c r="R340" s="1013"/>
    </row>
    <row r="341" spans="18:18" s="1014" customFormat="1">
      <c r="R341" s="1013"/>
    </row>
    <row r="342" spans="18:18" s="1014" customFormat="1">
      <c r="R342" s="1013"/>
    </row>
    <row r="343" spans="18:18" s="1014" customFormat="1">
      <c r="R343" s="1013"/>
    </row>
    <row r="344" spans="18:18" s="1014" customFormat="1">
      <c r="R344" s="1013"/>
    </row>
    <row r="345" spans="18:18" s="1014" customFormat="1">
      <c r="R345" s="1013"/>
    </row>
    <row r="346" spans="18:18" s="1014" customFormat="1">
      <c r="R346" s="1013"/>
    </row>
    <row r="347" spans="18:18" s="1014" customFormat="1">
      <c r="R347" s="1013"/>
    </row>
    <row r="348" spans="18:18" s="1014" customFormat="1">
      <c r="R348" s="1013"/>
    </row>
    <row r="349" spans="18:18" s="1014" customFormat="1">
      <c r="R349" s="1013"/>
    </row>
    <row r="350" spans="18:18" s="1014" customFormat="1">
      <c r="R350" s="1013"/>
    </row>
    <row r="351" spans="18:18" s="1014" customFormat="1">
      <c r="R351" s="1013"/>
    </row>
    <row r="352" spans="18:18" s="1014" customFormat="1">
      <c r="R352" s="1013"/>
    </row>
    <row r="353" spans="18:18" s="1014" customFormat="1">
      <c r="R353" s="1013"/>
    </row>
    <row r="354" spans="18:18" s="1014" customFormat="1">
      <c r="R354" s="1013"/>
    </row>
    <row r="355" spans="18:18" s="1014" customFormat="1">
      <c r="R355" s="1013"/>
    </row>
    <row r="356" spans="18:18" s="1014" customFormat="1">
      <c r="R356" s="1013"/>
    </row>
    <row r="357" spans="18:18" s="1014" customFormat="1">
      <c r="R357" s="1013"/>
    </row>
    <row r="358" spans="18:18" s="1014" customFormat="1">
      <c r="R358" s="1013"/>
    </row>
    <row r="359" spans="18:18" s="1014" customFormat="1">
      <c r="R359" s="1013"/>
    </row>
    <row r="360" spans="18:18" s="1014" customFormat="1">
      <c r="R360" s="1013"/>
    </row>
    <row r="361" spans="18:18" s="1014" customFormat="1">
      <c r="R361" s="1013"/>
    </row>
    <row r="362" spans="18:18" s="1014" customFormat="1">
      <c r="R362" s="1013"/>
    </row>
    <row r="363" spans="18:18" s="1014" customFormat="1">
      <c r="R363" s="1013"/>
    </row>
    <row r="364" spans="18:18" s="1014" customFormat="1">
      <c r="R364" s="1013"/>
    </row>
    <row r="365" spans="18:18" s="1014" customFormat="1">
      <c r="R365" s="1013"/>
    </row>
    <row r="366" spans="18:18" s="1014" customFormat="1">
      <c r="R366" s="1013"/>
    </row>
    <row r="367" spans="18:18" s="1014" customFormat="1">
      <c r="R367" s="1013"/>
    </row>
    <row r="368" spans="18:18" s="1014" customFormat="1">
      <c r="R368" s="1013"/>
    </row>
    <row r="369" spans="18:18" s="1014" customFormat="1">
      <c r="R369" s="1013"/>
    </row>
    <row r="370" spans="18:18" s="1014" customFormat="1">
      <c r="R370" s="1013"/>
    </row>
    <row r="371" spans="18:18" s="1014" customFormat="1">
      <c r="R371" s="1013"/>
    </row>
    <row r="372" spans="18:18" s="1014" customFormat="1">
      <c r="R372" s="1013"/>
    </row>
    <row r="373" spans="18:18" s="1014" customFormat="1">
      <c r="R373" s="1013"/>
    </row>
    <row r="374" spans="18:18" s="1014" customFormat="1">
      <c r="R374" s="1013"/>
    </row>
    <row r="375" spans="18:18" s="1014" customFormat="1">
      <c r="R375" s="1013"/>
    </row>
    <row r="376" spans="18:18" s="1014" customFormat="1">
      <c r="R376" s="1013"/>
    </row>
    <row r="377" spans="18:18" s="1014" customFormat="1">
      <c r="R377" s="1013"/>
    </row>
    <row r="378" spans="18:18" s="1014" customFormat="1">
      <c r="R378" s="1013"/>
    </row>
    <row r="379" spans="18:18" s="1014" customFormat="1">
      <c r="R379" s="1013"/>
    </row>
    <row r="380" spans="18:18" s="1014" customFormat="1">
      <c r="R380" s="1013"/>
    </row>
    <row r="381" spans="18:18" s="1014" customFormat="1">
      <c r="R381" s="1013"/>
    </row>
    <row r="382" spans="18:18" s="1014" customFormat="1">
      <c r="R382" s="1013"/>
    </row>
    <row r="383" spans="18:18" s="1014" customFormat="1">
      <c r="R383" s="1013"/>
    </row>
    <row r="384" spans="18:18" s="1014" customFormat="1">
      <c r="R384" s="1013"/>
    </row>
    <row r="385" spans="18:18" s="1014" customFormat="1">
      <c r="R385" s="1013"/>
    </row>
    <row r="386" spans="18:18" s="1014" customFormat="1">
      <c r="R386" s="1013"/>
    </row>
  </sheetData>
  <sortState ref="J3:M11">
    <sortCondition ref="L3:L11"/>
  </sortState>
  <pageMargins left="0.78740157499999996" right="0.78740157499999996" top="0.984251969" bottom="0.984251969" header="0.4921259845" footer="0.492125984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6"/>
  <sheetViews>
    <sheetView showGridLines="0" zoomScale="80" zoomScaleNormal="80" workbookViewId="0">
      <pane ySplit="1" topLeftCell="A2" activePane="bottomLeft" state="frozen"/>
      <selection pane="bottomLeft" activeCell="A4" sqref="A4"/>
    </sheetView>
  </sheetViews>
  <sheetFormatPr defaultColWidth="11.42578125" defaultRowHeight="12.75"/>
  <cols>
    <col min="1" max="1" width="18.7109375" style="1014" customWidth="1"/>
    <col min="2" max="2" width="10.42578125" style="1014" customWidth="1"/>
    <col min="3" max="3" width="9.28515625" style="1014" customWidth="1"/>
    <col min="4" max="4" width="5" style="1014" customWidth="1"/>
    <col min="5" max="5" width="18.85546875" style="1014" customWidth="1"/>
    <col min="6" max="6" width="8.5703125" style="1014" customWidth="1"/>
    <col min="7" max="7" width="13" style="1014" customWidth="1"/>
    <col min="8" max="8" width="7.42578125" style="1014" customWidth="1"/>
    <col min="9" max="9" width="4.7109375" style="1014" customWidth="1"/>
    <col min="10" max="10" width="14.28515625" style="1014" customWidth="1"/>
    <col min="11" max="11" width="11.42578125" style="1014"/>
    <col min="12" max="12" width="10.140625" style="1014" customWidth="1"/>
    <col min="13" max="13" width="11.42578125" style="1014"/>
    <col min="14" max="14" width="11.85546875" style="1014" customWidth="1"/>
    <col min="15" max="15" width="9.140625" style="1014" customWidth="1"/>
    <col min="16" max="18" width="11.42578125" style="1014"/>
    <col min="19" max="19" width="1.42578125" style="1014" customWidth="1"/>
    <col min="20" max="20" width="5.42578125" style="1014" customWidth="1"/>
    <col min="21" max="21" width="11.42578125" style="1014"/>
    <col min="22" max="22" width="10.28515625" style="1014" customWidth="1"/>
    <col min="23" max="23" width="5.28515625" style="1014" customWidth="1"/>
    <col min="24" max="24" width="11.42578125" style="1013"/>
    <col min="25" max="16384" width="11.42578125" style="1014"/>
  </cols>
  <sheetData>
    <row r="1" spans="1:24">
      <c r="A1" s="434" t="s">
        <v>310</v>
      </c>
      <c r="B1" s="435"/>
      <c r="C1" s="435"/>
      <c r="D1" s="4"/>
      <c r="E1" s="4"/>
      <c r="F1" s="4"/>
      <c r="G1" s="4"/>
      <c r="H1" s="4"/>
      <c r="I1" s="4"/>
      <c r="J1" s="4"/>
      <c r="K1" s="4"/>
      <c r="L1" s="4"/>
      <c r="M1" s="4"/>
      <c r="N1" s="4"/>
      <c r="O1" s="4"/>
      <c r="P1" s="4"/>
      <c r="Q1" s="4"/>
      <c r="R1" s="4"/>
      <c r="S1" s="4"/>
      <c r="T1" s="4"/>
      <c r="U1" s="4"/>
      <c r="V1" s="4"/>
      <c r="W1" s="4"/>
    </row>
    <row r="2" spans="1:24">
      <c r="A2" s="20"/>
      <c r="B2" s="4"/>
      <c r="C2" s="4"/>
      <c r="D2" s="4"/>
      <c r="E2" s="4"/>
      <c r="F2" s="4"/>
      <c r="G2" s="4"/>
      <c r="H2" s="4"/>
      <c r="I2" s="4"/>
      <c r="J2" s="4"/>
      <c r="K2" s="4"/>
      <c r="L2" s="4"/>
      <c r="M2" s="4"/>
      <c r="N2" s="4"/>
      <c r="O2" s="4"/>
      <c r="P2" s="4"/>
      <c r="Q2" s="4"/>
      <c r="R2" s="4"/>
      <c r="S2" s="4"/>
      <c r="T2" s="4"/>
      <c r="U2" s="4"/>
      <c r="V2" s="4"/>
      <c r="W2" s="4"/>
    </row>
    <row r="3" spans="1:24">
      <c r="A3" s="4"/>
      <c r="B3" s="2" t="s">
        <v>125</v>
      </c>
      <c r="C3" s="1133" t="s">
        <v>126</v>
      </c>
      <c r="D3" s="2"/>
      <c r="E3" s="4"/>
      <c r="F3" s="15" t="s">
        <v>96</v>
      </c>
      <c r="G3" s="2"/>
      <c r="H3" s="24" t="s">
        <v>97</v>
      </c>
      <c r="I3" s="24"/>
      <c r="J3" s="4"/>
      <c r="K3" s="4"/>
      <c r="L3" s="1" t="s">
        <v>130</v>
      </c>
      <c r="M3" s="4"/>
      <c r="N3" s="4"/>
      <c r="O3" s="4"/>
      <c r="P3" s="4"/>
      <c r="Q3" s="4"/>
      <c r="R3" s="4"/>
      <c r="S3" s="4"/>
      <c r="T3" s="4"/>
      <c r="U3" s="4"/>
      <c r="V3" s="4"/>
      <c r="W3" s="4"/>
    </row>
    <row r="4" spans="1:24">
      <c r="A4" s="2" t="s">
        <v>85</v>
      </c>
      <c r="B4" s="18">
        <v>9.69E-2</v>
      </c>
      <c r="C4" s="1134">
        <f>AVERAGE(B4:B10,B12:B16)</f>
        <v>0.11833194444444443</v>
      </c>
      <c r="D4" s="17"/>
      <c r="E4" s="2" t="s">
        <v>39</v>
      </c>
      <c r="F4" s="2" t="s">
        <v>30</v>
      </c>
      <c r="G4" s="2"/>
      <c r="H4" s="24"/>
      <c r="I4" s="24"/>
      <c r="J4" s="2" t="s">
        <v>127</v>
      </c>
      <c r="K4" s="2" t="s">
        <v>128</v>
      </c>
      <c r="L4" s="5">
        <v>-4.2999999999999997E-2</v>
      </c>
      <c r="M4" s="2" t="str">
        <f t="shared" ref="M4:M10" si="0">CONCATENATE(J4," ",K4)</f>
        <v>Royaume-Uni°° 2010-2007</v>
      </c>
      <c r="N4" s="4"/>
      <c r="O4" s="5">
        <f t="shared" ref="O4:O9" si="1">-(5%+L4)</f>
        <v>-7.0000000000000062E-3</v>
      </c>
      <c r="P4" s="5">
        <f>L4</f>
        <v>-4.2999999999999997E-2</v>
      </c>
      <c r="Q4" s="4"/>
      <c r="R4" s="4"/>
      <c r="S4" s="4"/>
      <c r="T4" s="4"/>
      <c r="U4" s="4"/>
      <c r="V4" s="4"/>
      <c r="W4" s="4"/>
    </row>
    <row r="5" spans="1:24">
      <c r="A5" s="2" t="s">
        <v>81</v>
      </c>
      <c r="B5" s="17">
        <v>9.8500000000000004E-2</v>
      </c>
      <c r="C5" s="1134">
        <f>$C$4</f>
        <v>0.11833194444444443</v>
      </c>
      <c r="D5" s="17"/>
      <c r="E5" s="2" t="s">
        <v>66</v>
      </c>
      <c r="F5" s="20">
        <v>0.11</v>
      </c>
      <c r="G5" s="2"/>
      <c r="H5" s="25">
        <f t="shared" ref="H5:H10" si="2">B5-F5</f>
        <v>-1.1499999999999996E-2</v>
      </c>
      <c r="I5" s="24"/>
      <c r="J5" s="2" t="s">
        <v>45</v>
      </c>
      <c r="K5" s="2" t="s">
        <v>102</v>
      </c>
      <c r="L5" s="5">
        <v>-3.1999999999999987E-2</v>
      </c>
      <c r="M5" s="2" t="str">
        <f t="shared" si="0"/>
        <v>Pays-Bas 2010-2006</v>
      </c>
      <c r="N5" s="4"/>
      <c r="O5" s="5">
        <f t="shared" si="1"/>
        <v>-1.8000000000000016E-2</v>
      </c>
      <c r="P5" s="5">
        <f t="shared" ref="P5:P10" si="3">L5</f>
        <v>-3.1999999999999987E-2</v>
      </c>
      <c r="Q5" s="4"/>
      <c r="R5" s="4"/>
      <c r="S5" s="4"/>
      <c r="T5" s="4"/>
      <c r="U5" s="4"/>
      <c r="V5" s="4"/>
      <c r="W5" s="4"/>
    </row>
    <row r="6" spans="1:24" s="1016" customFormat="1">
      <c r="A6" s="1" t="s">
        <v>78</v>
      </c>
      <c r="B6" s="16">
        <v>0.10050000000000001</v>
      </c>
      <c r="C6" s="1134">
        <f t="shared" ref="C6:C16" si="4">$C$4</f>
        <v>0.11833194444444443</v>
      </c>
      <c r="D6" s="16"/>
      <c r="E6" s="1" t="s">
        <v>301</v>
      </c>
      <c r="F6" s="16">
        <v>0.12239999999999999</v>
      </c>
      <c r="G6" s="1"/>
      <c r="H6" s="25">
        <f t="shared" si="2"/>
        <v>-2.1899999999999989E-2</v>
      </c>
      <c r="I6" s="24"/>
      <c r="J6" s="1" t="s">
        <v>31</v>
      </c>
      <c r="K6" s="235" t="s">
        <v>102</v>
      </c>
      <c r="L6" s="16">
        <v>-2.1899999999999989E-2</v>
      </c>
      <c r="M6" s="2" t="str">
        <f t="shared" si="0"/>
        <v>Belgique 2010-2006</v>
      </c>
      <c r="N6" s="1"/>
      <c r="O6" s="5">
        <f t="shared" si="1"/>
        <v>-2.8100000000000014E-2</v>
      </c>
      <c r="P6" s="5">
        <f t="shared" si="3"/>
        <v>-2.1899999999999989E-2</v>
      </c>
      <c r="Q6" s="1"/>
      <c r="R6" s="1"/>
      <c r="S6" s="1"/>
      <c r="T6" s="1"/>
      <c r="U6" s="1"/>
      <c r="V6" s="1"/>
      <c r="W6" s="1"/>
      <c r="X6" s="1015"/>
    </row>
    <row r="7" spans="1:24">
      <c r="A7" s="2" t="s">
        <v>118</v>
      </c>
      <c r="B7" s="17">
        <v>0.10199999999999999</v>
      </c>
      <c r="C7" s="1134">
        <f t="shared" si="4"/>
        <v>0.11833194444444443</v>
      </c>
      <c r="D7" s="17"/>
      <c r="E7" s="2" t="s">
        <v>119</v>
      </c>
      <c r="F7" s="17">
        <v>0.14499999999999999</v>
      </c>
      <c r="G7" s="17"/>
      <c r="H7" s="25">
        <f t="shared" si="2"/>
        <v>-4.2999999999999997E-2</v>
      </c>
      <c r="I7" s="24"/>
      <c r="J7" s="2" t="s">
        <v>106</v>
      </c>
      <c r="K7" s="2" t="s">
        <v>105</v>
      </c>
      <c r="L7" s="5">
        <v>-1.1499999999999996E-2</v>
      </c>
      <c r="M7" s="2" t="str">
        <f t="shared" si="0"/>
        <v>Danemark  2009-2008</v>
      </c>
      <c r="N7" s="4"/>
      <c r="O7" s="5">
        <f t="shared" si="1"/>
        <v>-3.8500000000000006E-2</v>
      </c>
      <c r="P7" s="5">
        <f t="shared" si="3"/>
        <v>-1.1499999999999996E-2</v>
      </c>
      <c r="Q7" s="4"/>
      <c r="R7" s="4"/>
      <c r="S7" s="4"/>
      <c r="T7" s="4"/>
      <c r="U7" s="4"/>
      <c r="V7" s="4"/>
      <c r="W7" s="4"/>
    </row>
    <row r="8" spans="1:24">
      <c r="A8" s="2" t="s">
        <v>79</v>
      </c>
      <c r="B8" s="17">
        <v>0.1062</v>
      </c>
      <c r="C8" s="1134">
        <f t="shared" si="4"/>
        <v>0.11833194444444443</v>
      </c>
      <c r="D8" s="17"/>
      <c r="E8" s="2" t="s">
        <v>88</v>
      </c>
      <c r="F8" s="19">
        <v>0.13819999999999999</v>
      </c>
      <c r="G8" s="17"/>
      <c r="H8" s="25">
        <f t="shared" si="2"/>
        <v>-3.1999999999999987E-2</v>
      </c>
      <c r="I8" s="24"/>
      <c r="J8" s="2" t="s">
        <v>38</v>
      </c>
      <c r="K8" s="2" t="s">
        <v>103</v>
      </c>
      <c r="L8" s="5">
        <v>-3.1999999999999945E-3</v>
      </c>
      <c r="M8" s="2" t="str">
        <f t="shared" si="0"/>
        <v>France 2010-2008</v>
      </c>
      <c r="N8" s="4"/>
      <c r="O8" s="5">
        <f t="shared" si="1"/>
        <v>-4.6800000000000008E-2</v>
      </c>
      <c r="P8" s="5">
        <f t="shared" si="3"/>
        <v>-3.1999999999999945E-3</v>
      </c>
      <c r="Q8" s="4"/>
      <c r="R8" s="4"/>
      <c r="S8" s="4"/>
      <c r="T8" s="4"/>
      <c r="U8" s="4"/>
      <c r="V8" s="4"/>
      <c r="W8" s="4"/>
    </row>
    <row r="9" spans="1:24">
      <c r="A9" s="2" t="s">
        <v>121</v>
      </c>
      <c r="B9" s="18">
        <f>AVERAGE(11.79%,11.78%,11%)</f>
        <v>0.11523333333333331</v>
      </c>
      <c r="C9" s="1134">
        <f t="shared" si="4"/>
        <v>0.11833194444444443</v>
      </c>
      <c r="D9" s="17"/>
      <c r="E9" s="2" t="s">
        <v>123</v>
      </c>
      <c r="F9" s="17">
        <v>0.1164</v>
      </c>
      <c r="G9" s="17"/>
      <c r="H9" s="25">
        <f t="shared" si="2"/>
        <v>-1.1666666666666908E-3</v>
      </c>
      <c r="I9" s="24"/>
      <c r="J9" s="2" t="s">
        <v>129</v>
      </c>
      <c r="K9" s="2" t="s">
        <v>105</v>
      </c>
      <c r="L9" s="5">
        <v>-1.1666666666666908E-3</v>
      </c>
      <c r="M9" s="2" t="str">
        <f t="shared" si="0"/>
        <v>Espagne°°° 2009-2008</v>
      </c>
      <c r="N9" s="4"/>
      <c r="O9" s="5">
        <f t="shared" si="1"/>
        <v>-4.8833333333333312E-2</v>
      </c>
      <c r="P9" s="5">
        <f t="shared" si="3"/>
        <v>-1.1666666666666908E-3</v>
      </c>
      <c r="Q9" s="4"/>
      <c r="R9" s="4"/>
      <c r="S9" s="4"/>
      <c r="T9" s="4"/>
      <c r="U9" s="4"/>
      <c r="V9" s="4"/>
      <c r="W9" s="4"/>
    </row>
    <row r="10" spans="1:24">
      <c r="A10" s="2" t="s">
        <v>77</v>
      </c>
      <c r="B10" s="17">
        <v>0.1178</v>
      </c>
      <c r="C10" s="1134">
        <f t="shared" si="4"/>
        <v>0.11833194444444443</v>
      </c>
      <c r="D10" s="17"/>
      <c r="E10" s="2" t="s">
        <v>82</v>
      </c>
      <c r="F10" s="17">
        <v>0.121</v>
      </c>
      <c r="G10" s="20"/>
      <c r="H10" s="25">
        <f t="shared" si="2"/>
        <v>-3.1999999999999945E-3</v>
      </c>
      <c r="I10" s="24"/>
      <c r="J10" s="2" t="s">
        <v>117</v>
      </c>
      <c r="K10" s="2" t="s">
        <v>105</v>
      </c>
      <c r="L10" s="5">
        <v>1.0949999999999988E-2</v>
      </c>
      <c r="M10" s="2" t="str">
        <f t="shared" si="0"/>
        <v>Finlande*** 2009-2008</v>
      </c>
      <c r="N10" s="4"/>
      <c r="O10" s="5"/>
      <c r="P10" s="5">
        <f t="shared" si="3"/>
        <v>1.0949999999999988E-2</v>
      </c>
      <c r="Q10" s="4"/>
      <c r="R10" s="4"/>
      <c r="S10" s="4"/>
      <c r="T10" s="4"/>
      <c r="U10" s="4"/>
      <c r="V10" s="4"/>
      <c r="W10" s="4"/>
    </row>
    <row r="11" spans="1:24">
      <c r="A11" s="1" t="s">
        <v>301</v>
      </c>
      <c r="B11" s="16">
        <v>0.12239999999999999</v>
      </c>
      <c r="C11" s="1134">
        <f t="shared" si="4"/>
        <v>0.11833194444444443</v>
      </c>
      <c r="D11" s="17"/>
      <c r="E11" s="2"/>
      <c r="F11" s="17"/>
      <c r="G11" s="20"/>
      <c r="H11" s="24"/>
      <c r="I11" s="24"/>
      <c r="J11" s="4"/>
      <c r="K11" s="4"/>
      <c r="L11" s="4"/>
      <c r="M11" s="4"/>
      <c r="N11" s="4"/>
      <c r="O11" s="4"/>
      <c r="P11" s="4"/>
      <c r="Q11" s="4"/>
      <c r="R11" s="4"/>
      <c r="S11" s="4"/>
      <c r="T11" s="4"/>
      <c r="U11" s="4"/>
      <c r="V11" s="4"/>
      <c r="W11" s="4"/>
    </row>
    <row r="12" spans="1:24">
      <c r="A12" s="2" t="s">
        <v>69</v>
      </c>
      <c r="B12" s="17">
        <v>0.124</v>
      </c>
      <c r="C12" s="1134">
        <f t="shared" si="4"/>
        <v>0.11833194444444443</v>
      </c>
      <c r="D12" s="17"/>
      <c r="E12" s="2" t="s">
        <v>69</v>
      </c>
      <c r="F12" s="17">
        <v>0.124</v>
      </c>
      <c r="G12" s="17" t="s">
        <v>86</v>
      </c>
      <c r="H12" s="25"/>
      <c r="I12" s="24"/>
      <c r="J12" s="4"/>
      <c r="K12" s="4"/>
      <c r="L12" s="4"/>
      <c r="M12" s="4"/>
      <c r="N12" s="4"/>
      <c r="O12" s="4"/>
      <c r="P12" s="4"/>
      <c r="Q12" s="4"/>
      <c r="R12" s="4"/>
      <c r="S12" s="4"/>
      <c r="T12" s="4"/>
      <c r="U12" s="4"/>
      <c r="V12" s="4"/>
      <c r="W12" s="4"/>
    </row>
    <row r="13" spans="1:24">
      <c r="A13" s="2" t="s">
        <v>67</v>
      </c>
      <c r="B13" s="17">
        <v>0.129</v>
      </c>
      <c r="C13" s="1134">
        <f t="shared" si="4"/>
        <v>0.11833194444444443</v>
      </c>
      <c r="D13" s="17"/>
      <c r="E13" s="2" t="s">
        <v>67</v>
      </c>
      <c r="F13" s="17">
        <v>0.129</v>
      </c>
      <c r="G13" s="17" t="s">
        <v>86</v>
      </c>
      <c r="H13" s="25"/>
      <c r="I13" s="24"/>
      <c r="J13" s="4"/>
      <c r="K13" s="4"/>
      <c r="L13" s="4"/>
      <c r="M13" s="4"/>
      <c r="N13" s="4"/>
      <c r="O13" s="4"/>
      <c r="P13" s="4"/>
      <c r="Q13" s="4"/>
      <c r="R13" s="4"/>
      <c r="S13" s="4"/>
      <c r="T13" s="4"/>
      <c r="U13" s="4"/>
      <c r="V13" s="4"/>
      <c r="W13" s="4"/>
    </row>
    <row r="14" spans="1:24" ht="15">
      <c r="A14" s="2" t="s">
        <v>116</v>
      </c>
      <c r="B14" s="23">
        <f>AVERAGE(13.08%, 14.87%)</f>
        <v>0.13974999999999999</v>
      </c>
      <c r="C14" s="1134">
        <f t="shared" si="4"/>
        <v>0.11833194444444443</v>
      </c>
      <c r="D14" s="17"/>
      <c r="E14" s="2" t="s">
        <v>122</v>
      </c>
      <c r="F14" s="23">
        <f>AVERAGE(11.45%, 14.31%)</f>
        <v>0.1288</v>
      </c>
      <c r="G14" s="23"/>
      <c r="H14" s="25">
        <f>B14-F14</f>
        <v>1.0949999999999988E-2</v>
      </c>
      <c r="I14" s="24"/>
      <c r="J14" s="325" t="s">
        <v>270</v>
      </c>
      <c r="K14" s="326"/>
      <c r="L14" s="326"/>
      <c r="M14" s="326"/>
      <c r="N14" s="327"/>
      <c r="O14" s="337"/>
      <c r="P14" s="326"/>
      <c r="Q14" s="338" t="s">
        <v>245</v>
      </c>
      <c r="R14" s="345" t="s">
        <v>276</v>
      </c>
      <c r="S14" s="258"/>
      <c r="T14" s="337" t="s">
        <v>302</v>
      </c>
      <c r="U14" s="326"/>
      <c r="V14" s="408" t="s">
        <v>276</v>
      </c>
      <c r="W14" s="4"/>
    </row>
    <row r="15" spans="1:24">
      <c r="A15" s="2" t="s">
        <v>73</v>
      </c>
      <c r="B15" s="17">
        <v>0.14199999999999999</v>
      </c>
      <c r="C15" s="1134">
        <f t="shared" si="4"/>
        <v>0.11833194444444443</v>
      </c>
      <c r="D15" s="17"/>
      <c r="E15" s="2" t="s">
        <v>73</v>
      </c>
      <c r="F15" s="17">
        <v>0.14199999999999999</v>
      </c>
      <c r="G15" s="17" t="s">
        <v>86</v>
      </c>
      <c r="H15" s="25"/>
      <c r="I15" s="24"/>
      <c r="J15" s="328" t="s">
        <v>271</v>
      </c>
      <c r="K15" s="329"/>
      <c r="L15" s="329"/>
      <c r="M15" s="329"/>
      <c r="N15" s="330"/>
      <c r="O15" s="339" t="s">
        <v>81</v>
      </c>
      <c r="P15" s="329"/>
      <c r="Q15" s="332">
        <f>'(Cullen 2010 Fixed)'!B4</f>
        <v>7.6999999999999999E-2</v>
      </c>
      <c r="R15" s="340">
        <f>B5-Q15</f>
        <v>2.1500000000000005E-2</v>
      </c>
      <c r="S15" s="258"/>
      <c r="T15" s="401" t="s">
        <v>70</v>
      </c>
      <c r="U15" s="402"/>
      <c r="V15" s="403">
        <v>4.4100000000000014E-2</v>
      </c>
      <c r="W15" s="4"/>
    </row>
    <row r="16" spans="1:24">
      <c r="A16" s="2" t="s">
        <v>87</v>
      </c>
      <c r="B16" s="17">
        <v>0.14810000000000001</v>
      </c>
      <c r="C16" s="1134">
        <f t="shared" si="4"/>
        <v>0.11833194444444443</v>
      </c>
      <c r="D16" s="17"/>
      <c r="E16" s="2" t="s">
        <v>87</v>
      </c>
      <c r="F16" s="17">
        <v>0.14810000000000001</v>
      </c>
      <c r="G16" s="17" t="s">
        <v>86</v>
      </c>
      <c r="H16" s="25"/>
      <c r="I16" s="24"/>
      <c r="J16" s="922" t="s">
        <v>471</v>
      </c>
      <c r="K16" s="329"/>
      <c r="L16" s="329"/>
      <c r="M16" s="332">
        <f>B11</f>
        <v>0.12239999999999999</v>
      </c>
      <c r="N16" s="330"/>
      <c r="O16" s="339" t="s">
        <v>113</v>
      </c>
      <c r="P16" s="319"/>
      <c r="Q16" s="332">
        <f>'(Cullen 2010 Fixed)'!B6</f>
        <v>8.5900000000000004E-2</v>
      </c>
      <c r="R16" s="340">
        <f>B4-Q16</f>
        <v>1.0999999999999996E-2</v>
      </c>
      <c r="S16" s="258"/>
      <c r="T16" s="401" t="s">
        <v>116</v>
      </c>
      <c r="U16" s="402"/>
      <c r="V16" s="403">
        <v>3.7199999999999983E-2</v>
      </c>
      <c r="W16" s="4"/>
    </row>
    <row r="17" spans="1:23">
      <c r="A17" s="4"/>
      <c r="B17" s="4"/>
      <c r="C17" s="4"/>
      <c r="D17" s="4"/>
      <c r="E17" s="4"/>
      <c r="F17" s="4"/>
      <c r="G17" s="4"/>
      <c r="H17" s="4"/>
      <c r="I17" s="4"/>
      <c r="J17" s="922" t="s">
        <v>470</v>
      </c>
      <c r="K17" s="329"/>
      <c r="L17" s="923"/>
      <c r="M17" s="332">
        <f>B6</f>
        <v>0.10050000000000001</v>
      </c>
      <c r="N17" s="330"/>
      <c r="O17" s="339" t="s">
        <v>79</v>
      </c>
      <c r="P17" s="329"/>
      <c r="Q17" s="332">
        <f>'(Cullen 2010 Fixed)'!B7</f>
        <v>8.6900000000000005E-2</v>
      </c>
      <c r="R17" s="340">
        <f>B8-Q17</f>
        <v>1.9299999999999998E-2</v>
      </c>
      <c r="S17" s="258"/>
      <c r="T17" s="401" t="s">
        <v>67</v>
      </c>
      <c r="U17" s="402"/>
      <c r="V17" s="403">
        <v>3.7000000000000005E-2</v>
      </c>
      <c r="W17" s="4"/>
    </row>
    <row r="18" spans="1:23">
      <c r="A18" s="4" t="s">
        <v>65</v>
      </c>
      <c r="B18" s="4" t="s">
        <v>30</v>
      </c>
      <c r="C18" s="4"/>
      <c r="D18" s="4"/>
      <c r="E18" s="4"/>
      <c r="F18" s="4"/>
      <c r="G18" s="4"/>
      <c r="H18" s="4"/>
      <c r="I18" s="4"/>
      <c r="J18" s="328" t="s">
        <v>268</v>
      </c>
      <c r="K18" s="332">
        <f>AVERAGE(B4:B5,B7:B16)</f>
        <v>0.12015694444444443</v>
      </c>
      <c r="L18" s="329"/>
      <c r="M18" s="329"/>
      <c r="N18" s="330"/>
      <c r="O18" s="339" t="s">
        <v>67</v>
      </c>
      <c r="P18" s="329"/>
      <c r="Q18" s="332">
        <f>'(Cullen 2010 Fixed)'!B8</f>
        <v>9.1999999999999998E-2</v>
      </c>
      <c r="R18" s="340">
        <f>B13-Q18</f>
        <v>3.7000000000000005E-2</v>
      </c>
      <c r="S18" s="258"/>
      <c r="T18" s="401" t="s">
        <v>69</v>
      </c>
      <c r="U18" s="402"/>
      <c r="V18" s="403">
        <v>2.2000000000000006E-2</v>
      </c>
      <c r="W18" s="4"/>
    </row>
    <row r="19" spans="1:23">
      <c r="A19" s="2" t="s">
        <v>53</v>
      </c>
      <c r="B19" s="4" t="s">
        <v>43</v>
      </c>
      <c r="C19" s="4"/>
      <c r="D19" s="4"/>
      <c r="E19" s="4"/>
      <c r="F19" s="5"/>
      <c r="G19" s="4"/>
      <c r="H19" s="4"/>
      <c r="I19" s="4"/>
      <c r="J19" s="333" t="s">
        <v>272</v>
      </c>
      <c r="K19" s="334">
        <f>MEDIAN(B4:B5,B7:B16)</f>
        <v>0.1201</v>
      </c>
      <c r="L19" s="335"/>
      <c r="M19" s="335"/>
      <c r="N19" s="336"/>
      <c r="O19" s="339" t="s">
        <v>98</v>
      </c>
      <c r="P19" s="329"/>
      <c r="Q19" s="332">
        <f>'(Cullen 2010 Fixed)'!B10</f>
        <v>0.10100000000000001</v>
      </c>
      <c r="R19" s="340">
        <f>B7-Q19</f>
        <v>9.9999999999998701E-4</v>
      </c>
      <c r="S19" s="258"/>
      <c r="T19" s="401" t="s">
        <v>81</v>
      </c>
      <c r="U19" s="402"/>
      <c r="V19" s="403">
        <v>2.1500000000000005E-2</v>
      </c>
      <c r="W19" s="4"/>
    </row>
    <row r="20" spans="1:23">
      <c r="A20" s="2" t="s">
        <v>28</v>
      </c>
      <c r="B20" s="4" t="s">
        <v>30</v>
      </c>
      <c r="C20" s="4"/>
      <c r="D20" s="4"/>
      <c r="E20" s="4"/>
      <c r="F20" s="4"/>
      <c r="G20" s="4"/>
      <c r="H20" s="4"/>
      <c r="I20" s="4"/>
      <c r="J20" s="4"/>
      <c r="K20" s="4"/>
      <c r="L20" s="4"/>
      <c r="M20" s="4"/>
      <c r="N20" s="4"/>
      <c r="O20" s="339" t="s">
        <v>69</v>
      </c>
      <c r="P20" s="329"/>
      <c r="Q20" s="332">
        <f>'(Cullen 2010 Fixed)'!B11</f>
        <v>0.10199999999999999</v>
      </c>
      <c r="R20" s="340">
        <f>B12-Q20</f>
        <v>2.2000000000000006E-2</v>
      </c>
      <c r="S20" s="258"/>
      <c r="T20" s="401" t="s">
        <v>79</v>
      </c>
      <c r="U20" s="402"/>
      <c r="V20" s="403">
        <v>1.9299999999999998E-2</v>
      </c>
      <c r="W20" s="4"/>
    </row>
    <row r="21" spans="1:23">
      <c r="A21" s="2" t="s">
        <v>90</v>
      </c>
      <c r="B21" s="4" t="s">
        <v>30</v>
      </c>
      <c r="C21" s="4"/>
      <c r="D21" s="4"/>
      <c r="E21" s="4"/>
      <c r="F21" s="4"/>
      <c r="G21" s="4"/>
      <c r="H21" s="4"/>
      <c r="I21" s="4"/>
      <c r="J21" s="4"/>
      <c r="K21" s="4"/>
      <c r="L21" s="4"/>
      <c r="M21" s="4"/>
      <c r="N21" s="4"/>
      <c r="O21" s="339" t="s">
        <v>116</v>
      </c>
      <c r="P21" s="329"/>
      <c r="Q21" s="332">
        <f>'(Cullen 2010 Fixed)'!B13</f>
        <v>0.10255</v>
      </c>
      <c r="R21" s="340">
        <f>B14-Q21</f>
        <v>3.7199999999999983E-2</v>
      </c>
      <c r="S21" s="258"/>
      <c r="T21" s="401" t="s">
        <v>73</v>
      </c>
      <c r="U21" s="402"/>
      <c r="V21" s="403">
        <v>1.6999999999999987E-2</v>
      </c>
      <c r="W21" s="4"/>
    </row>
    <row r="22" spans="1:23">
      <c r="A22" s="2" t="s">
        <v>74</v>
      </c>
      <c r="B22" s="4" t="s">
        <v>43</v>
      </c>
      <c r="C22" s="4"/>
      <c r="D22" s="4"/>
      <c r="E22" s="4"/>
      <c r="F22" s="4"/>
      <c r="G22" s="4"/>
      <c r="H22" s="4"/>
      <c r="I22" s="4"/>
      <c r="J22" s="4"/>
      <c r="K22" s="4"/>
      <c r="L22" s="4"/>
      <c r="M22" s="4"/>
      <c r="N22" s="4"/>
      <c r="O22" s="339" t="s">
        <v>77</v>
      </c>
      <c r="P22" s="329"/>
      <c r="Q22" s="332">
        <f>'(Cullen 2010 Fixed)'!B14</f>
        <v>0.104</v>
      </c>
      <c r="R22" s="340">
        <f>B10-Q22</f>
        <v>1.3800000000000007E-2</v>
      </c>
      <c r="S22" s="258"/>
      <c r="T22" s="401" t="s">
        <v>77</v>
      </c>
      <c r="U22" s="402"/>
      <c r="V22" s="403">
        <v>1.3800000000000007E-2</v>
      </c>
      <c r="W22" s="4"/>
    </row>
    <row r="23" spans="1:23">
      <c r="A23" s="2"/>
      <c r="B23" s="4"/>
      <c r="C23" s="4"/>
      <c r="D23" s="4"/>
      <c r="E23" s="4"/>
      <c r="F23" s="4"/>
      <c r="G23" s="4"/>
      <c r="H23" s="4"/>
      <c r="I23" s="4"/>
      <c r="J23" s="4"/>
      <c r="K23" s="4"/>
      <c r="L23" s="4"/>
      <c r="M23" s="4"/>
      <c r="N23" s="4"/>
      <c r="O23" s="339" t="s">
        <v>70</v>
      </c>
      <c r="P23" s="329"/>
      <c r="Q23" s="332">
        <f>'(Cullen 2010 Fixed)'!B15</f>
        <v>0.104</v>
      </c>
      <c r="R23" s="340">
        <f>B16-Q23</f>
        <v>4.4100000000000014E-2</v>
      </c>
      <c r="S23" s="258"/>
      <c r="T23" s="401" t="s">
        <v>113</v>
      </c>
      <c r="U23" s="402"/>
      <c r="V23" s="403">
        <v>1.0999999999999996E-2</v>
      </c>
      <c r="W23" s="4"/>
    </row>
    <row r="24" spans="1:23">
      <c r="A24" s="235" t="s">
        <v>273</v>
      </c>
      <c r="B24" s="8"/>
      <c r="C24" s="4"/>
      <c r="D24" s="4"/>
      <c r="E24" s="4"/>
      <c r="F24" s="4"/>
      <c r="G24" s="14"/>
      <c r="H24" s="4"/>
      <c r="I24" s="4"/>
      <c r="J24" s="4"/>
      <c r="K24" s="4"/>
      <c r="L24" s="4"/>
      <c r="M24" s="4"/>
      <c r="N24" s="4"/>
      <c r="O24" s="339" t="s">
        <v>91</v>
      </c>
      <c r="P24" s="329"/>
      <c r="Q24" s="332">
        <f>'(Cullen 2010 Fixed)'!B17</f>
        <v>0.1094</v>
      </c>
      <c r="R24" s="340">
        <f>B9-Q24</f>
        <v>5.8333333333333154E-3</v>
      </c>
      <c r="S24" s="258"/>
      <c r="T24" s="404" t="s">
        <v>301</v>
      </c>
      <c r="U24" s="402"/>
      <c r="V24" s="403">
        <f>R25</f>
        <v>1.0399999999999993E-2</v>
      </c>
      <c r="W24" s="4"/>
    </row>
    <row r="25" spans="1:23">
      <c r="A25" s="3" t="s">
        <v>120</v>
      </c>
      <c r="B25" s="18"/>
      <c r="C25" s="5"/>
      <c r="D25" s="17"/>
      <c r="E25" s="2"/>
      <c r="F25" s="4"/>
      <c r="G25" s="5"/>
      <c r="H25" s="4"/>
      <c r="I25" s="4"/>
      <c r="J25" s="4"/>
      <c r="K25" s="4"/>
      <c r="L25" s="4"/>
      <c r="M25" s="4"/>
      <c r="N25" s="4"/>
      <c r="O25" s="341" t="s">
        <v>301</v>
      </c>
      <c r="P25" s="329"/>
      <c r="Q25" s="332">
        <f>'(Cullen 2010 Fixed)'!B18</f>
        <v>0.112</v>
      </c>
      <c r="R25" s="340">
        <f>M16-'(Cullen 2010 Fixed)'!P19</f>
        <v>1.0399999999999993E-2</v>
      </c>
      <c r="S25" s="258"/>
      <c r="T25" s="401" t="s">
        <v>91</v>
      </c>
      <c r="U25" s="402"/>
      <c r="V25" s="403">
        <v>5.8333333333333154E-3</v>
      </c>
      <c r="W25" s="4"/>
    </row>
    <row r="26" spans="1:23">
      <c r="A26" s="2" t="s">
        <v>124</v>
      </c>
      <c r="B26" s="4"/>
      <c r="C26" s="4"/>
      <c r="D26" s="4"/>
      <c r="E26" s="4"/>
      <c r="F26" s="4"/>
      <c r="G26" s="5"/>
      <c r="H26" s="4"/>
      <c r="I26" s="4"/>
      <c r="J26" s="4"/>
      <c r="K26" s="4"/>
      <c r="L26" s="4"/>
      <c r="M26" s="4"/>
      <c r="N26" s="4"/>
      <c r="O26" s="339" t="s">
        <v>73</v>
      </c>
      <c r="P26" s="329"/>
      <c r="Q26" s="332">
        <f>'(Cullen 2010 Fixed)'!B19</f>
        <v>0.125</v>
      </c>
      <c r="R26" s="340">
        <f>B15-Q26</f>
        <v>1.6999999999999987E-2</v>
      </c>
      <c r="S26" s="258"/>
      <c r="T26" s="405" t="s">
        <v>98</v>
      </c>
      <c r="U26" s="406"/>
      <c r="V26" s="407">
        <v>9.9999999999998701E-4</v>
      </c>
      <c r="W26" s="4"/>
    </row>
    <row r="27" spans="1:23">
      <c r="A27" s="235" t="s">
        <v>274</v>
      </c>
      <c r="B27" s="4"/>
      <c r="C27" s="4"/>
      <c r="D27" s="4"/>
      <c r="E27" s="4"/>
      <c r="F27" s="4"/>
      <c r="G27" s="5"/>
      <c r="H27" s="4"/>
      <c r="I27" s="4"/>
      <c r="J27" s="4"/>
      <c r="K27" s="4"/>
      <c r="L27" s="4"/>
      <c r="M27" s="4"/>
      <c r="N27" s="4"/>
      <c r="O27" s="343" t="s">
        <v>268</v>
      </c>
      <c r="P27" s="326"/>
      <c r="Q27" s="326"/>
      <c r="R27" s="344">
        <f>AVERAGE(R15:R26)</f>
        <v>2.0011111111111105E-2</v>
      </c>
      <c r="S27" s="258"/>
      <c r="T27" s="4"/>
      <c r="U27" s="4"/>
      <c r="V27" s="4"/>
      <c r="W27" s="4"/>
    </row>
    <row r="28" spans="1:23">
      <c r="A28" s="4"/>
      <c r="B28" s="18"/>
      <c r="C28" s="5"/>
      <c r="D28" s="17"/>
      <c r="E28" s="2"/>
      <c r="F28" s="4"/>
      <c r="G28" s="5"/>
      <c r="H28" s="4"/>
      <c r="I28" s="4"/>
      <c r="J28" s="4"/>
      <c r="K28" s="4"/>
      <c r="L28" s="4"/>
      <c r="M28" s="4"/>
      <c r="N28" s="4"/>
      <c r="O28" s="333" t="s">
        <v>282</v>
      </c>
      <c r="P28" s="335"/>
      <c r="Q28" s="335"/>
      <c r="R28" s="342">
        <f>MEDIAN(R15:R26)</f>
        <v>1.8149999999999993E-2</v>
      </c>
      <c r="S28" s="258"/>
      <c r="T28" s="258"/>
      <c r="U28" s="258"/>
      <c r="V28" s="258"/>
      <c r="W28" s="4"/>
    </row>
    <row r="29" spans="1:23">
      <c r="A29" s="4"/>
      <c r="B29" s="4"/>
      <c r="C29" s="4"/>
      <c r="D29" s="4"/>
      <c r="E29" s="4"/>
      <c r="F29" s="4"/>
      <c r="G29" s="4"/>
      <c r="H29" s="4"/>
      <c r="I29" s="4"/>
      <c r="J29" s="4"/>
      <c r="K29" s="4"/>
      <c r="L29" s="4"/>
      <c r="M29" s="4"/>
      <c r="N29" s="4"/>
      <c r="O29" s="4"/>
      <c r="P29" s="4"/>
      <c r="Q29" s="4"/>
      <c r="R29" s="4"/>
      <c r="S29" s="4"/>
      <c r="T29" s="258"/>
      <c r="U29" s="258"/>
      <c r="V29" s="258"/>
      <c r="W29" s="4"/>
    </row>
    <row r="30" spans="1:23">
      <c r="A30" s="4"/>
      <c r="B30" s="4"/>
      <c r="C30" s="4"/>
      <c r="D30" s="4"/>
      <c r="E30" s="4"/>
      <c r="F30" s="4"/>
      <c r="G30" s="4"/>
      <c r="H30" s="4"/>
      <c r="I30" s="4"/>
      <c r="J30" s="4"/>
      <c r="K30" s="4"/>
      <c r="L30" s="4"/>
      <c r="M30" s="4"/>
      <c r="N30" s="4"/>
      <c r="O30" s="4"/>
      <c r="P30" s="4"/>
      <c r="Q30" s="4"/>
      <c r="R30" s="4"/>
      <c r="S30" s="4"/>
      <c r="T30" s="4"/>
      <c r="U30" s="4"/>
      <c r="V30" s="4"/>
      <c r="W30" s="4"/>
    </row>
    <row r="31" spans="1:23">
      <c r="A31" s="4"/>
      <c r="B31" s="4"/>
      <c r="C31" s="4"/>
      <c r="D31" s="4"/>
      <c r="E31" s="4"/>
      <c r="F31" s="4"/>
      <c r="G31" s="4"/>
      <c r="H31" s="4"/>
      <c r="I31" s="4"/>
      <c r="J31" s="4"/>
      <c r="K31" s="4"/>
      <c r="L31" s="4"/>
      <c r="M31" s="4"/>
      <c r="N31" s="4"/>
      <c r="O31" s="4"/>
      <c r="P31" s="4"/>
      <c r="Q31" s="4"/>
      <c r="R31" s="4"/>
      <c r="S31" s="4"/>
      <c r="T31" s="4"/>
      <c r="U31" s="4"/>
      <c r="V31" s="4"/>
      <c r="W31" s="4"/>
    </row>
    <row r="32" spans="1:23">
      <c r="A32" s="4"/>
      <c r="B32" s="4"/>
      <c r="C32" s="4"/>
      <c r="D32" s="4"/>
      <c r="E32" s="4"/>
      <c r="F32" s="4"/>
      <c r="G32" s="4"/>
      <c r="H32" s="4"/>
      <c r="I32" s="4"/>
      <c r="J32" s="4"/>
      <c r="K32" s="4"/>
      <c r="L32" s="4"/>
      <c r="M32" s="4"/>
      <c r="N32" s="4"/>
      <c r="O32" s="4"/>
      <c r="P32" s="4"/>
      <c r="Q32" s="4"/>
      <c r="R32" s="4"/>
      <c r="S32" s="4"/>
      <c r="T32" s="4"/>
      <c r="U32" s="4"/>
      <c r="V32" s="4"/>
      <c r="W32" s="4"/>
    </row>
    <row r="33" spans="1:23">
      <c r="A33" s="4"/>
      <c r="B33" s="4"/>
      <c r="C33" s="4"/>
      <c r="D33" s="4"/>
      <c r="E33" s="4"/>
      <c r="F33" s="4"/>
      <c r="G33" s="4"/>
      <c r="H33" s="4"/>
      <c r="I33" s="4"/>
      <c r="J33" s="4"/>
      <c r="K33" s="4"/>
      <c r="L33" s="4"/>
      <c r="M33" s="4"/>
      <c r="N33" s="4"/>
      <c r="O33" s="4"/>
      <c r="P33" s="4"/>
      <c r="Q33" s="4"/>
      <c r="R33" s="4"/>
      <c r="S33" s="4"/>
      <c r="T33" s="4"/>
      <c r="U33" s="4"/>
      <c r="V33" s="4"/>
      <c r="W33" s="4"/>
    </row>
    <row r="34" spans="1:23">
      <c r="A34" s="4"/>
      <c r="B34" s="4"/>
      <c r="C34" s="4"/>
      <c r="D34" s="4"/>
      <c r="E34" s="4"/>
      <c r="F34" s="4"/>
      <c r="G34" s="4"/>
      <c r="H34" s="4"/>
      <c r="I34" s="4"/>
      <c r="J34" s="4"/>
      <c r="K34" s="4"/>
      <c r="L34" s="4"/>
      <c r="M34" s="4"/>
      <c r="N34" s="4"/>
      <c r="O34" s="4"/>
      <c r="P34" s="4"/>
      <c r="Q34" s="4"/>
      <c r="R34" s="4"/>
      <c r="S34" s="4"/>
      <c r="T34" s="4"/>
      <c r="U34" s="4"/>
      <c r="V34" s="4"/>
      <c r="W34" s="4"/>
    </row>
    <row r="35" spans="1:23">
      <c r="A35" s="4"/>
      <c r="B35" s="4"/>
      <c r="C35" s="4"/>
      <c r="D35" s="4"/>
      <c r="E35" s="4"/>
      <c r="F35" s="4"/>
      <c r="G35" s="4"/>
      <c r="H35" s="4"/>
      <c r="I35" s="4"/>
      <c r="J35" s="4"/>
      <c r="K35" s="4"/>
      <c r="L35" s="4"/>
      <c r="M35" s="4"/>
      <c r="N35" s="4"/>
      <c r="O35" s="4"/>
      <c r="P35" s="4"/>
      <c r="Q35" s="4"/>
      <c r="R35" s="4"/>
      <c r="S35" s="4"/>
      <c r="T35" s="4"/>
      <c r="U35" s="4"/>
      <c r="V35" s="4"/>
      <c r="W35" s="4"/>
    </row>
    <row r="36" spans="1:23">
      <c r="A36" s="4"/>
      <c r="B36" s="4"/>
      <c r="C36" s="4"/>
      <c r="D36" s="4"/>
      <c r="E36" s="4"/>
      <c r="F36" s="4"/>
      <c r="G36" s="4"/>
      <c r="H36" s="4"/>
      <c r="I36" s="4"/>
      <c r="J36" s="4"/>
      <c r="K36" s="4"/>
      <c r="L36" s="4"/>
      <c r="M36" s="4"/>
      <c r="N36" s="4"/>
      <c r="O36" s="4"/>
      <c r="P36" s="4"/>
      <c r="Q36" s="4"/>
      <c r="R36" s="4"/>
      <c r="S36" s="4"/>
      <c r="T36" s="4"/>
      <c r="U36" s="4"/>
      <c r="V36" s="4"/>
      <c r="W36" s="4"/>
    </row>
    <row r="37" spans="1:23">
      <c r="A37" s="4"/>
      <c r="B37" s="4"/>
      <c r="C37" s="4"/>
      <c r="D37" s="4"/>
      <c r="E37" s="4"/>
      <c r="F37" s="4"/>
      <c r="G37" s="4"/>
      <c r="H37" s="4"/>
      <c r="I37" s="4"/>
      <c r="J37" s="4"/>
      <c r="K37" s="4"/>
      <c r="L37" s="4"/>
      <c r="M37" s="4"/>
      <c r="N37" s="4"/>
      <c r="O37" s="4"/>
      <c r="P37" s="4"/>
      <c r="Q37" s="4"/>
      <c r="R37" s="4"/>
      <c r="S37" s="4"/>
      <c r="T37" s="4"/>
      <c r="U37" s="4"/>
      <c r="V37" s="4"/>
      <c r="W37" s="4"/>
    </row>
    <row r="38" spans="1:23">
      <c r="A38" s="4"/>
      <c r="B38" s="4"/>
      <c r="C38" s="4"/>
      <c r="D38" s="4"/>
      <c r="E38" s="4"/>
      <c r="F38" s="4"/>
      <c r="G38" s="4"/>
      <c r="H38" s="4"/>
      <c r="I38" s="4"/>
      <c r="J38" s="4"/>
      <c r="K38" s="4"/>
      <c r="L38" s="4"/>
      <c r="M38" s="4"/>
      <c r="N38" s="4"/>
      <c r="O38" s="4"/>
      <c r="P38" s="4"/>
      <c r="Q38" s="4"/>
      <c r="R38" s="4"/>
      <c r="S38" s="4"/>
      <c r="T38" s="4"/>
      <c r="U38" s="4"/>
      <c r="V38" s="4"/>
      <c r="W38" s="4"/>
    </row>
    <row r="39" spans="1:23">
      <c r="A39" s="4"/>
      <c r="B39" s="4"/>
      <c r="C39" s="4"/>
      <c r="D39" s="4"/>
      <c r="E39" s="4"/>
      <c r="F39" s="4"/>
      <c r="G39" s="4"/>
      <c r="H39" s="4"/>
      <c r="I39" s="4"/>
      <c r="J39" s="4"/>
      <c r="K39" s="4"/>
      <c r="L39" s="4"/>
      <c r="M39" s="4"/>
      <c r="N39" s="4"/>
      <c r="O39" s="4"/>
      <c r="P39" s="4"/>
      <c r="Q39" s="4"/>
      <c r="R39" s="4"/>
      <c r="S39" s="4"/>
      <c r="T39" s="4"/>
      <c r="U39" s="4"/>
      <c r="V39" s="4"/>
      <c r="W39" s="4"/>
    </row>
    <row r="40" spans="1:23">
      <c r="A40" s="4"/>
      <c r="B40" s="4"/>
      <c r="C40" s="4"/>
      <c r="D40" s="4"/>
      <c r="E40" s="4"/>
      <c r="F40" s="4"/>
      <c r="G40" s="4"/>
      <c r="H40" s="4"/>
      <c r="I40" s="4"/>
      <c r="J40" s="4"/>
      <c r="K40" s="4"/>
      <c r="L40" s="4"/>
      <c r="M40" s="4"/>
      <c r="N40" s="4"/>
      <c r="O40" s="4"/>
      <c r="P40" s="4"/>
      <c r="Q40" s="4"/>
      <c r="R40" s="4"/>
      <c r="S40" s="4"/>
      <c r="T40" s="4"/>
      <c r="U40" s="4"/>
      <c r="V40" s="4"/>
      <c r="W40" s="4"/>
    </row>
    <row r="41" spans="1:23">
      <c r="A41" s="4"/>
      <c r="B41" s="4"/>
      <c r="C41" s="4"/>
      <c r="D41" s="4"/>
      <c r="E41" s="4"/>
      <c r="F41" s="4"/>
      <c r="G41" s="4"/>
      <c r="H41" s="4"/>
      <c r="I41" s="4"/>
      <c r="J41" s="4"/>
      <c r="K41" s="4"/>
      <c r="L41" s="4"/>
      <c r="M41" s="4"/>
      <c r="N41" s="4"/>
      <c r="O41" s="4"/>
      <c r="P41" s="4"/>
      <c r="Q41" s="4"/>
      <c r="R41" s="4"/>
      <c r="S41" s="4"/>
      <c r="T41" s="4"/>
      <c r="U41" s="4"/>
      <c r="V41" s="4"/>
      <c r="W41" s="4"/>
    </row>
    <row r="42" spans="1:23">
      <c r="A42" s="4"/>
      <c r="B42" s="4"/>
      <c r="C42" s="4"/>
      <c r="D42" s="4"/>
      <c r="E42" s="4"/>
      <c r="F42" s="4"/>
      <c r="G42" s="4"/>
      <c r="H42" s="4"/>
      <c r="I42" s="4"/>
      <c r="J42" s="4"/>
      <c r="K42" s="4"/>
      <c r="L42" s="4"/>
      <c r="M42" s="4"/>
      <c r="N42" s="4"/>
      <c r="O42" s="4"/>
      <c r="P42" s="4"/>
      <c r="Q42" s="4"/>
      <c r="R42" s="4"/>
      <c r="S42" s="4"/>
      <c r="T42" s="4"/>
      <c r="U42" s="4"/>
      <c r="V42" s="4"/>
      <c r="W42" s="4"/>
    </row>
    <row r="43" spans="1:23">
      <c r="A43" s="4"/>
      <c r="B43" s="4"/>
      <c r="C43" s="4"/>
      <c r="D43" s="4"/>
      <c r="E43" s="4"/>
      <c r="F43" s="4"/>
      <c r="G43" s="4"/>
      <c r="H43" s="4"/>
      <c r="I43" s="4"/>
      <c r="J43" s="4"/>
      <c r="K43" s="4"/>
      <c r="L43" s="4"/>
      <c r="M43" s="4"/>
      <c r="N43" s="4"/>
      <c r="O43" s="4"/>
      <c r="P43" s="4"/>
      <c r="Q43" s="4"/>
      <c r="R43" s="4"/>
      <c r="S43" s="4"/>
      <c r="T43" s="4"/>
      <c r="U43" s="4"/>
      <c r="V43" s="4"/>
      <c r="W43" s="4"/>
    </row>
    <row r="44" spans="1:23">
      <c r="A44" s="4"/>
      <c r="B44" s="4"/>
      <c r="C44" s="4"/>
      <c r="D44" s="4"/>
      <c r="E44" s="4"/>
      <c r="F44" s="4"/>
      <c r="G44" s="4"/>
      <c r="H44" s="4"/>
      <c r="I44" s="4"/>
      <c r="J44" s="4"/>
      <c r="K44" s="4"/>
      <c r="L44" s="4"/>
      <c r="M44" s="4"/>
      <c r="N44" s="4"/>
      <c r="O44" s="4"/>
      <c r="P44" s="4"/>
      <c r="Q44" s="4"/>
      <c r="R44" s="4"/>
      <c r="S44" s="4"/>
      <c r="T44" s="4"/>
      <c r="U44" s="4"/>
      <c r="V44" s="4"/>
      <c r="W44" s="4"/>
    </row>
    <row r="45" spans="1:23">
      <c r="A45" s="4"/>
      <c r="B45" s="4"/>
      <c r="C45" s="4"/>
      <c r="D45" s="4"/>
      <c r="E45" s="4"/>
      <c r="F45" s="4"/>
      <c r="G45" s="4"/>
      <c r="H45" s="4"/>
      <c r="I45" s="4"/>
      <c r="J45" s="4"/>
      <c r="K45" s="4"/>
      <c r="L45" s="4"/>
      <c r="M45" s="4"/>
      <c r="N45" s="4"/>
      <c r="O45" s="4"/>
      <c r="P45" s="4"/>
      <c r="Q45" s="4"/>
      <c r="R45" s="4"/>
      <c r="S45" s="4"/>
      <c r="T45" s="4"/>
      <c r="U45" s="4"/>
      <c r="V45" s="4"/>
      <c r="W45" s="4"/>
    </row>
    <row r="46" spans="1:23">
      <c r="A46" s="4"/>
      <c r="B46" s="4"/>
      <c r="C46" s="4"/>
      <c r="D46" s="4"/>
      <c r="E46" s="4"/>
      <c r="F46" s="4"/>
      <c r="G46" s="4"/>
      <c r="H46" s="4"/>
      <c r="I46" s="4"/>
      <c r="J46" s="4"/>
      <c r="K46" s="4"/>
      <c r="L46" s="4"/>
      <c r="M46" s="4"/>
      <c r="N46" s="4"/>
      <c r="O46" s="4"/>
      <c r="P46" s="4"/>
      <c r="Q46" s="4"/>
      <c r="R46" s="4"/>
      <c r="S46" s="4"/>
      <c r="T46" s="4"/>
      <c r="U46" s="4"/>
      <c r="V46" s="4"/>
      <c r="W46" s="4"/>
    </row>
    <row r="47" spans="1:23">
      <c r="A47" s="4"/>
      <c r="B47" s="4"/>
      <c r="C47" s="4"/>
      <c r="D47" s="4"/>
      <c r="E47" s="4"/>
      <c r="F47" s="4"/>
      <c r="G47" s="4"/>
      <c r="H47" s="4"/>
      <c r="I47" s="4"/>
      <c r="J47" s="4"/>
      <c r="K47" s="4"/>
      <c r="L47" s="4"/>
      <c r="M47" s="4"/>
      <c r="N47" s="4"/>
      <c r="O47" s="4"/>
      <c r="P47" s="4"/>
      <c r="Q47" s="4"/>
      <c r="R47" s="4"/>
      <c r="S47" s="4"/>
      <c r="T47" s="4"/>
      <c r="U47" s="4"/>
      <c r="V47" s="4"/>
      <c r="W47" s="4"/>
    </row>
    <row r="48" spans="1:23">
      <c r="A48" s="4"/>
      <c r="B48" s="4"/>
      <c r="C48" s="4"/>
      <c r="D48" s="4"/>
      <c r="E48" s="4"/>
      <c r="F48" s="4"/>
      <c r="G48" s="4"/>
      <c r="H48" s="4"/>
      <c r="I48" s="4"/>
      <c r="J48" s="4"/>
      <c r="K48" s="4"/>
      <c r="L48" s="4"/>
      <c r="M48" s="4"/>
      <c r="N48" s="4"/>
      <c r="O48" s="4"/>
      <c r="P48" s="4"/>
      <c r="Q48" s="4"/>
      <c r="R48" s="4"/>
      <c r="S48" s="4"/>
      <c r="T48" s="4"/>
      <c r="U48" s="4"/>
      <c r="V48" s="4"/>
      <c r="W48" s="4"/>
    </row>
    <row r="49" spans="1:23">
      <c r="A49" s="4"/>
      <c r="B49" s="4"/>
      <c r="C49" s="4"/>
      <c r="D49" s="4"/>
      <c r="E49" s="4"/>
      <c r="F49" s="4"/>
      <c r="G49" s="4"/>
      <c r="H49" s="4"/>
      <c r="I49" s="4"/>
      <c r="J49" s="4"/>
      <c r="K49" s="4"/>
      <c r="L49" s="4"/>
      <c r="M49" s="4"/>
      <c r="N49" s="4"/>
      <c r="O49" s="4"/>
      <c r="P49" s="4"/>
      <c r="Q49" s="4"/>
      <c r="R49" s="4"/>
      <c r="S49" s="4"/>
      <c r="T49" s="4"/>
      <c r="U49" s="4"/>
      <c r="V49" s="4"/>
      <c r="W49" s="4"/>
    </row>
    <row r="50" spans="1:23">
      <c r="A50" s="4"/>
      <c r="B50" s="4"/>
      <c r="C50" s="4"/>
      <c r="D50" s="4"/>
      <c r="E50" s="4"/>
      <c r="F50" s="4"/>
      <c r="G50" s="4"/>
      <c r="H50" s="4"/>
      <c r="I50" s="4"/>
      <c r="J50" s="4"/>
      <c r="K50" s="4"/>
      <c r="L50" s="4"/>
      <c r="M50" s="4"/>
      <c r="N50" s="4"/>
      <c r="O50" s="4"/>
      <c r="P50" s="4"/>
      <c r="Q50" s="4"/>
      <c r="R50" s="4"/>
      <c r="S50" s="4"/>
      <c r="T50" s="4"/>
      <c r="U50" s="4"/>
      <c r="V50" s="4"/>
      <c r="W50" s="4"/>
    </row>
    <row r="51" spans="1:23">
      <c r="A51" s="4"/>
      <c r="B51" s="4"/>
      <c r="C51" s="4"/>
      <c r="D51" s="4"/>
      <c r="E51" s="4"/>
      <c r="F51" s="4"/>
      <c r="G51" s="4"/>
      <c r="H51" s="4"/>
      <c r="I51" s="4"/>
      <c r="J51" s="4"/>
      <c r="K51" s="4"/>
      <c r="L51" s="4"/>
      <c r="M51" s="4"/>
      <c r="N51" s="4"/>
      <c r="O51" s="4"/>
      <c r="P51" s="4"/>
      <c r="Q51" s="4"/>
      <c r="R51" s="4"/>
      <c r="S51" s="4"/>
      <c r="T51" s="4"/>
      <c r="U51" s="4"/>
      <c r="V51" s="4"/>
      <c r="W51" s="4"/>
    </row>
    <row r="52" spans="1:23">
      <c r="A52" s="4"/>
      <c r="B52" s="4"/>
      <c r="C52" s="4"/>
      <c r="D52" s="4"/>
      <c r="E52" s="4"/>
      <c r="F52" s="4"/>
      <c r="G52" s="4"/>
      <c r="H52" s="4"/>
      <c r="I52" s="4"/>
      <c r="J52" s="4"/>
      <c r="K52" s="4"/>
      <c r="L52" s="4"/>
      <c r="M52" s="4"/>
      <c r="N52" s="4"/>
      <c r="O52" s="4"/>
      <c r="P52" s="4"/>
      <c r="Q52" s="4"/>
      <c r="R52" s="4"/>
      <c r="S52" s="4"/>
      <c r="T52" s="4"/>
      <c r="U52" s="4"/>
      <c r="V52" s="4"/>
      <c r="W52" s="4"/>
    </row>
    <row r="53" spans="1:23">
      <c r="A53" s="4"/>
      <c r="B53" s="4"/>
      <c r="C53" s="4"/>
      <c r="D53" s="4"/>
      <c r="E53" s="4"/>
      <c r="F53" s="4"/>
      <c r="G53" s="4"/>
      <c r="H53" s="4"/>
      <c r="I53" s="4"/>
      <c r="J53" s="4"/>
      <c r="K53" s="4"/>
      <c r="L53" s="4"/>
      <c r="M53" s="4"/>
      <c r="N53" s="4"/>
      <c r="O53" s="4"/>
      <c r="P53" s="4"/>
      <c r="Q53" s="4"/>
      <c r="R53" s="4"/>
      <c r="S53" s="4"/>
      <c r="T53" s="4"/>
      <c r="U53" s="4"/>
      <c r="V53" s="4"/>
      <c r="W53" s="4"/>
    </row>
    <row r="54" spans="1:23">
      <c r="A54" s="4"/>
      <c r="B54" s="4"/>
      <c r="C54" s="4"/>
      <c r="D54" s="4"/>
      <c r="E54" s="4"/>
      <c r="F54" s="4"/>
      <c r="G54" s="4"/>
      <c r="H54" s="4"/>
      <c r="I54" s="4"/>
      <c r="J54" s="4"/>
      <c r="K54" s="4"/>
      <c r="L54" s="4"/>
      <c r="M54" s="4"/>
      <c r="N54" s="4"/>
      <c r="O54" s="4"/>
      <c r="P54" s="4"/>
      <c r="Q54" s="4"/>
      <c r="R54" s="4"/>
      <c r="S54" s="4"/>
      <c r="T54" s="4"/>
      <c r="U54" s="4"/>
      <c r="V54" s="4"/>
      <c r="W54" s="4"/>
    </row>
    <row r="55" spans="1:23">
      <c r="A55" s="4"/>
      <c r="B55" s="4"/>
      <c r="C55" s="4"/>
      <c r="D55" s="4"/>
      <c r="E55" s="4"/>
      <c r="F55" s="4"/>
      <c r="G55" s="4"/>
      <c r="H55" s="4"/>
      <c r="I55" s="4"/>
      <c r="J55" s="4"/>
      <c r="K55" s="4"/>
      <c r="L55" s="4"/>
      <c r="M55" s="4"/>
      <c r="N55" s="4"/>
      <c r="O55" s="4"/>
      <c r="P55" s="4"/>
      <c r="Q55" s="4"/>
      <c r="R55" s="4"/>
      <c r="S55" s="4"/>
      <c r="T55" s="4"/>
      <c r="U55" s="4"/>
      <c r="V55" s="4"/>
      <c r="W55" s="4"/>
    </row>
    <row r="56" spans="1:23">
      <c r="A56" s="4"/>
      <c r="B56" s="4"/>
      <c r="C56" s="4"/>
      <c r="D56" s="4"/>
      <c r="E56" s="4"/>
      <c r="F56" s="4"/>
      <c r="G56" s="4"/>
      <c r="H56" s="4"/>
      <c r="I56" s="4"/>
      <c r="J56" s="4"/>
      <c r="K56" s="4"/>
      <c r="L56" s="4"/>
      <c r="M56" s="4"/>
      <c r="N56" s="4"/>
      <c r="O56" s="4"/>
      <c r="P56" s="4"/>
      <c r="Q56" s="4"/>
      <c r="R56" s="4"/>
      <c r="S56" s="4"/>
      <c r="T56" s="4"/>
      <c r="U56" s="4"/>
      <c r="V56" s="4"/>
      <c r="W56" s="4"/>
    </row>
    <row r="57" spans="1:23">
      <c r="A57" s="4"/>
      <c r="B57" s="4"/>
      <c r="C57" s="4"/>
      <c r="D57" s="4"/>
      <c r="E57" s="4"/>
      <c r="F57" s="4"/>
      <c r="G57" s="4"/>
      <c r="H57" s="4"/>
      <c r="I57" s="4"/>
      <c r="J57" s="4"/>
      <c r="K57" s="4"/>
      <c r="L57" s="4"/>
      <c r="M57" s="4"/>
      <c r="N57" s="4"/>
      <c r="O57" s="4"/>
      <c r="P57" s="4"/>
      <c r="Q57" s="4"/>
      <c r="R57" s="4"/>
      <c r="S57" s="4"/>
      <c r="T57" s="4"/>
      <c r="U57" s="4"/>
      <c r="V57" s="4"/>
      <c r="W57" s="4"/>
    </row>
    <row r="58" spans="1:23">
      <c r="A58" s="4"/>
      <c r="B58" s="4"/>
      <c r="C58" s="4"/>
      <c r="D58" s="4"/>
      <c r="E58" s="4"/>
      <c r="F58" s="4"/>
      <c r="G58" s="4"/>
      <c r="H58" s="4"/>
      <c r="I58" s="4"/>
      <c r="J58" s="4"/>
      <c r="K58" s="4"/>
      <c r="L58" s="4"/>
      <c r="M58" s="4"/>
      <c r="N58" s="4"/>
      <c r="O58" s="4"/>
      <c r="P58" s="4"/>
      <c r="Q58" s="4"/>
      <c r="R58" s="4"/>
      <c r="S58" s="4"/>
      <c r="T58" s="4"/>
      <c r="U58" s="4"/>
      <c r="V58" s="4"/>
      <c r="W58" s="4"/>
    </row>
    <row r="59" spans="1:23">
      <c r="A59" s="4"/>
      <c r="B59" s="4"/>
      <c r="C59" s="4"/>
      <c r="D59" s="4"/>
      <c r="E59" s="4"/>
      <c r="F59" s="4"/>
      <c r="G59" s="4"/>
      <c r="H59" s="4"/>
      <c r="I59" s="4"/>
      <c r="J59" s="4"/>
      <c r="K59" s="4"/>
      <c r="L59" s="4"/>
      <c r="M59" s="4"/>
      <c r="N59" s="4"/>
      <c r="O59" s="4"/>
      <c r="P59" s="4"/>
      <c r="Q59" s="4"/>
      <c r="R59" s="4"/>
      <c r="S59" s="4"/>
      <c r="T59" s="4"/>
      <c r="U59" s="4"/>
      <c r="V59" s="4"/>
      <c r="W59" s="4"/>
    </row>
    <row r="60" spans="1:23">
      <c r="A60" s="4"/>
      <c r="B60" s="4"/>
      <c r="C60" s="4"/>
      <c r="D60" s="4"/>
      <c r="E60" s="4"/>
      <c r="F60" s="4"/>
      <c r="G60" s="4"/>
      <c r="H60" s="4"/>
      <c r="I60" s="4"/>
      <c r="J60" s="4"/>
      <c r="K60" s="4"/>
      <c r="L60" s="4"/>
      <c r="M60" s="4"/>
      <c r="N60" s="4"/>
      <c r="O60" s="4"/>
      <c r="P60" s="4"/>
      <c r="Q60" s="4"/>
      <c r="R60" s="4"/>
      <c r="S60" s="4"/>
      <c r="T60" s="4"/>
      <c r="U60" s="4"/>
      <c r="V60" s="4"/>
      <c r="W60" s="4"/>
    </row>
    <row r="61" spans="1:23">
      <c r="A61" s="4"/>
      <c r="B61" s="4"/>
      <c r="C61" s="4"/>
      <c r="D61" s="4"/>
      <c r="E61" s="4"/>
      <c r="F61" s="4"/>
      <c r="G61" s="4"/>
      <c r="H61" s="4"/>
      <c r="I61" s="4"/>
      <c r="J61" s="4"/>
      <c r="K61" s="4"/>
      <c r="L61" s="4"/>
      <c r="M61" s="4"/>
      <c r="N61" s="4"/>
      <c r="O61" s="4"/>
      <c r="P61" s="4"/>
      <c r="Q61" s="4"/>
      <c r="R61" s="4"/>
      <c r="S61" s="4"/>
      <c r="T61" s="4"/>
      <c r="U61" s="4"/>
      <c r="V61" s="4"/>
      <c r="W61" s="4"/>
    </row>
    <row r="62" spans="1:23">
      <c r="A62" s="4"/>
      <c r="B62" s="4"/>
      <c r="C62" s="4"/>
      <c r="D62" s="4"/>
      <c r="E62" s="4"/>
      <c r="F62" s="4"/>
      <c r="G62" s="4"/>
      <c r="H62" s="4"/>
      <c r="I62" s="4"/>
      <c r="J62" s="4"/>
      <c r="K62" s="4"/>
      <c r="L62" s="4"/>
      <c r="M62" s="4"/>
      <c r="N62" s="4"/>
      <c r="O62" s="4"/>
      <c r="P62" s="4"/>
      <c r="Q62" s="4"/>
      <c r="R62" s="4"/>
      <c r="S62" s="4"/>
      <c r="T62" s="4"/>
      <c r="U62" s="4"/>
      <c r="V62" s="4"/>
      <c r="W62" s="4"/>
    </row>
    <row r="63" spans="1:23">
      <c r="A63" s="4"/>
      <c r="B63" s="4"/>
      <c r="C63" s="4"/>
      <c r="D63" s="4"/>
      <c r="E63" s="4"/>
      <c r="F63" s="4"/>
      <c r="G63" s="4"/>
      <c r="H63" s="4"/>
      <c r="I63" s="4"/>
      <c r="J63" s="4"/>
      <c r="K63" s="4"/>
      <c r="L63" s="4"/>
      <c r="M63" s="4"/>
      <c r="N63" s="4"/>
      <c r="O63" s="4"/>
      <c r="P63" s="4"/>
      <c r="Q63" s="4"/>
      <c r="R63" s="4"/>
      <c r="S63" s="4"/>
      <c r="T63" s="4"/>
      <c r="U63" s="4"/>
      <c r="V63" s="4"/>
      <c r="W63" s="4"/>
    </row>
    <row r="64" spans="1:23">
      <c r="A64" s="4"/>
      <c r="B64" s="4"/>
      <c r="C64" s="4"/>
      <c r="D64" s="4"/>
      <c r="E64" s="4"/>
      <c r="F64" s="4"/>
      <c r="G64" s="4"/>
      <c r="H64" s="4"/>
      <c r="I64" s="4"/>
      <c r="J64" s="4"/>
      <c r="K64" s="4"/>
      <c r="L64" s="4"/>
      <c r="M64" s="4"/>
      <c r="N64" s="4"/>
      <c r="O64" s="4"/>
      <c r="P64" s="4"/>
      <c r="Q64" s="4"/>
      <c r="R64" s="4"/>
      <c r="S64" s="4"/>
      <c r="T64" s="4"/>
      <c r="U64" s="4"/>
      <c r="V64" s="4"/>
      <c r="W64" s="4"/>
    </row>
    <row r="65" spans="1:24">
      <c r="A65" s="4"/>
      <c r="B65" s="4"/>
      <c r="C65" s="4"/>
      <c r="D65" s="4"/>
      <c r="E65" s="4"/>
      <c r="F65" s="4"/>
      <c r="G65" s="4"/>
      <c r="H65" s="4"/>
      <c r="I65" s="4"/>
      <c r="J65" s="4"/>
      <c r="K65" s="4"/>
      <c r="L65" s="4"/>
      <c r="M65" s="4"/>
      <c r="N65" s="4"/>
      <c r="O65" s="4"/>
      <c r="P65" s="4"/>
      <c r="Q65" s="4"/>
      <c r="R65" s="4"/>
      <c r="S65" s="4"/>
      <c r="T65" s="4"/>
      <c r="U65" s="4"/>
      <c r="V65" s="4"/>
      <c r="W65" s="4"/>
    </row>
    <row r="66" spans="1:24" s="1018" customFormat="1">
      <c r="A66" s="924"/>
      <c r="B66" s="924"/>
      <c r="C66" s="924"/>
      <c r="D66" s="924"/>
      <c r="E66" s="924"/>
      <c r="F66" s="924"/>
      <c r="G66" s="924"/>
      <c r="H66" s="924"/>
      <c r="I66" s="924"/>
      <c r="J66" s="924"/>
      <c r="K66" s="924"/>
      <c r="L66" s="924"/>
      <c r="M66" s="924"/>
      <c r="N66" s="924"/>
      <c r="O66" s="924"/>
      <c r="P66" s="924"/>
      <c r="Q66" s="924"/>
      <c r="R66" s="924"/>
      <c r="S66" s="924"/>
      <c r="T66" s="924"/>
      <c r="U66" s="924"/>
      <c r="V66" s="924"/>
      <c r="W66" s="924"/>
      <c r="X66" s="1017"/>
    </row>
    <row r="67" spans="1:24" s="1017" customFormat="1"/>
    <row r="68" spans="1:24" s="1018" customFormat="1">
      <c r="X68" s="1017"/>
    </row>
    <row r="69" spans="1:24" s="1018" customFormat="1">
      <c r="X69" s="1017"/>
    </row>
    <row r="70" spans="1:24" s="1018" customFormat="1">
      <c r="X70" s="1017"/>
    </row>
    <row r="71" spans="1:24" s="1018" customFormat="1">
      <c r="X71" s="1017"/>
    </row>
    <row r="72" spans="1:24" s="1018" customFormat="1">
      <c r="X72" s="1017"/>
    </row>
    <row r="73" spans="1:24" s="1018" customFormat="1">
      <c r="X73" s="1017"/>
    </row>
    <row r="74" spans="1:24" s="1018" customFormat="1">
      <c r="X74" s="1017"/>
    </row>
    <row r="75" spans="1:24" s="1018" customFormat="1">
      <c r="X75" s="1017"/>
    </row>
    <row r="76" spans="1:24" s="1018" customFormat="1">
      <c r="X76" s="1017"/>
    </row>
    <row r="77" spans="1:24" s="1018" customFormat="1">
      <c r="X77" s="1017"/>
    </row>
    <row r="78" spans="1:24" s="1018" customFormat="1">
      <c r="X78" s="1017"/>
    </row>
    <row r="79" spans="1:24" s="1018" customFormat="1">
      <c r="X79" s="1017"/>
    </row>
    <row r="80" spans="1:24" s="1018" customFormat="1">
      <c r="X80" s="1017"/>
    </row>
    <row r="81" spans="24:24" s="1018" customFormat="1">
      <c r="X81" s="1017"/>
    </row>
    <row r="82" spans="24:24" s="1018" customFormat="1">
      <c r="X82" s="1017"/>
    </row>
    <row r="83" spans="24:24" s="1018" customFormat="1">
      <c r="X83" s="1017"/>
    </row>
    <row r="84" spans="24:24" s="1018" customFormat="1">
      <c r="X84" s="1017"/>
    </row>
    <row r="85" spans="24:24" s="1018" customFormat="1">
      <c r="X85" s="1017"/>
    </row>
    <row r="86" spans="24:24" s="1018" customFormat="1">
      <c r="X86" s="1017"/>
    </row>
  </sheetData>
  <sortState ref="T14:V25">
    <sortCondition descending="1" ref="V14:V25"/>
  </sortState>
  <pageMargins left="0.78740157499999996" right="0.78740157499999996" top="0.984251969" bottom="0.984251969" header="0.4921259845" footer="0.4921259845"/>
  <pageSetup paperSize="9" orientation="portrait" verticalDpi="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2" zoomScale="90" zoomScaleNormal="90" workbookViewId="0">
      <selection activeCell="O34" sqref="O34"/>
    </sheetView>
  </sheetViews>
  <sheetFormatPr defaultColWidth="11.42578125" defaultRowHeight="12.75"/>
  <cols>
    <col min="1" max="2" width="11.42578125" style="4"/>
    <col min="3" max="3" width="18.7109375" style="4" customWidth="1"/>
    <col min="4" max="4" width="15.140625" style="4" customWidth="1"/>
    <col min="5" max="5" width="21" style="4" customWidth="1"/>
    <col min="6" max="6" width="11.42578125" style="4"/>
    <col min="7" max="7" width="11.42578125" style="881"/>
    <col min="8" max="16384" width="11.42578125" style="4"/>
  </cols>
  <sheetData>
    <row r="1" spans="1:8">
      <c r="A1" s="4" t="s">
        <v>26</v>
      </c>
    </row>
    <row r="2" spans="1:8">
      <c r="B2" s="4" t="s">
        <v>19</v>
      </c>
      <c r="D2" s="4" t="s">
        <v>27</v>
      </c>
      <c r="F2" s="4" t="s">
        <v>20</v>
      </c>
    </row>
    <row r="3" spans="1:8">
      <c r="A3" s="4" t="s">
        <v>28</v>
      </c>
      <c r="B3" s="5">
        <v>0.1048</v>
      </c>
      <c r="C3" s="5"/>
      <c r="E3" s="6" t="s">
        <v>29</v>
      </c>
      <c r="F3" s="4" t="s">
        <v>30</v>
      </c>
    </row>
    <row r="4" spans="1:8">
      <c r="A4" s="4" t="s">
        <v>31</v>
      </c>
      <c r="B4" s="5">
        <v>0.112</v>
      </c>
      <c r="C4" s="5"/>
      <c r="E4" s="4" t="s">
        <v>32</v>
      </c>
      <c r="F4" s="5">
        <v>0.12239999999999999</v>
      </c>
      <c r="G4" s="881">
        <v>2006</v>
      </c>
    </row>
    <row r="5" spans="1:8" ht="15">
      <c r="A5" s="4" t="s">
        <v>33</v>
      </c>
      <c r="B5" s="7">
        <v>0.08</v>
      </c>
      <c r="C5" s="7"/>
      <c r="F5" s="8">
        <v>0.11</v>
      </c>
      <c r="G5" s="881" t="s">
        <v>34</v>
      </c>
    </row>
    <row r="6" spans="1:8" ht="15">
      <c r="A6" s="4" t="s">
        <v>35</v>
      </c>
      <c r="B6" s="9">
        <f>AVERAGE(8.73%, 10.9%)</f>
        <v>9.8150000000000001E-2</v>
      </c>
      <c r="C6" s="9"/>
      <c r="E6" s="10" t="s">
        <v>36</v>
      </c>
      <c r="F6" s="9">
        <f>AVERAGE(11.45%, 14.31%)</f>
        <v>0.1288</v>
      </c>
      <c r="G6" s="882" t="s">
        <v>37</v>
      </c>
    </row>
    <row r="7" spans="1:8">
      <c r="A7" s="4" t="s">
        <v>38</v>
      </c>
      <c r="B7" s="5">
        <v>0.107</v>
      </c>
      <c r="C7" s="5"/>
      <c r="F7" s="5">
        <v>0.121</v>
      </c>
      <c r="G7" s="881">
        <v>2008</v>
      </c>
    </row>
    <row r="8" spans="1:8">
      <c r="A8" s="4" t="s">
        <v>39</v>
      </c>
      <c r="B8" s="5">
        <v>9.4700000000000006E-2</v>
      </c>
      <c r="C8" s="5"/>
      <c r="E8" s="11" t="s">
        <v>40</v>
      </c>
      <c r="F8" s="4" t="s">
        <v>30</v>
      </c>
    </row>
    <row r="9" spans="1:8">
      <c r="A9" s="4" t="s">
        <v>41</v>
      </c>
      <c r="B9" s="5">
        <v>0.104</v>
      </c>
      <c r="C9" s="5"/>
      <c r="F9" s="5">
        <v>0.14410000000000001</v>
      </c>
      <c r="G9" s="881">
        <v>2008</v>
      </c>
    </row>
    <row r="10" spans="1:8">
      <c r="A10" s="4" t="s">
        <v>42</v>
      </c>
      <c r="B10" s="5">
        <v>0.1021</v>
      </c>
      <c r="C10" s="5"/>
      <c r="F10" s="4" t="s">
        <v>43</v>
      </c>
    </row>
    <row r="11" spans="1:8">
      <c r="A11" s="4" t="s">
        <v>44</v>
      </c>
      <c r="B11" s="5">
        <v>0.10199999999999999</v>
      </c>
      <c r="C11" s="5"/>
      <c r="F11" s="5">
        <v>0.124</v>
      </c>
      <c r="G11" s="881">
        <v>2006</v>
      </c>
    </row>
    <row r="12" spans="1:8" ht="15">
      <c r="A12" s="4" t="s">
        <v>45</v>
      </c>
      <c r="B12" s="9">
        <v>9.8000000000000004E-2</v>
      </c>
      <c r="C12" s="9"/>
      <c r="E12" s="4" t="s">
        <v>46</v>
      </c>
      <c r="F12" s="5">
        <v>0.13800000000000001</v>
      </c>
      <c r="G12" s="881">
        <v>2007</v>
      </c>
      <c r="H12" s="4" t="s">
        <v>47</v>
      </c>
    </row>
    <row r="13" spans="1:8">
      <c r="A13" s="4" t="s">
        <v>48</v>
      </c>
      <c r="B13" s="5">
        <v>0.125</v>
      </c>
      <c r="C13" s="5"/>
      <c r="F13" s="5">
        <v>0.125</v>
      </c>
      <c r="G13" s="881">
        <v>2008</v>
      </c>
      <c r="H13" s="4" t="s">
        <v>49</v>
      </c>
    </row>
    <row r="14" spans="1:8" s="12" customFormat="1" ht="15">
      <c r="A14" s="12" t="s">
        <v>50</v>
      </c>
      <c r="B14" s="13">
        <v>0.13320000000000001</v>
      </c>
      <c r="C14" s="13"/>
      <c r="F14" s="12" t="s">
        <v>30</v>
      </c>
      <c r="G14" s="883"/>
    </row>
    <row r="15" spans="1:8">
      <c r="A15" s="4" t="s">
        <v>51</v>
      </c>
      <c r="B15" s="5">
        <v>0.1081</v>
      </c>
      <c r="C15" s="5"/>
      <c r="F15" s="5">
        <v>0.1164</v>
      </c>
      <c r="G15" s="881">
        <v>2008</v>
      </c>
    </row>
    <row r="16" spans="1:8">
      <c r="A16" s="4" t="s">
        <v>52</v>
      </c>
      <c r="B16" s="5">
        <v>9.0999999999999998E-2</v>
      </c>
      <c r="C16" s="5"/>
      <c r="F16" s="5">
        <v>0.129</v>
      </c>
      <c r="G16" s="881">
        <v>2008</v>
      </c>
    </row>
    <row r="17" spans="1:8" s="12" customFormat="1" ht="15">
      <c r="A17" s="12" t="s">
        <v>53</v>
      </c>
      <c r="B17" s="13">
        <v>6.2199999999999998E-2</v>
      </c>
      <c r="C17" s="13"/>
      <c r="E17" s="12" t="s">
        <v>54</v>
      </c>
      <c r="F17" s="12" t="s">
        <v>30</v>
      </c>
      <c r="G17" s="883"/>
    </row>
    <row r="18" spans="1:8">
      <c r="A18" s="4" t="s">
        <v>55</v>
      </c>
      <c r="B18" s="8">
        <v>0.1</v>
      </c>
      <c r="C18" s="8"/>
      <c r="E18" s="10" t="s">
        <v>56</v>
      </c>
      <c r="G18" s="881">
        <v>2007</v>
      </c>
      <c r="H18" s="4" t="s">
        <v>57</v>
      </c>
    </row>
    <row r="19" spans="1:8">
      <c r="B19" s="8"/>
      <c r="C19" s="8"/>
    </row>
    <row r="20" spans="1:8">
      <c r="A20" s="4" t="s">
        <v>58</v>
      </c>
      <c r="D20" s="4" t="s">
        <v>59</v>
      </c>
      <c r="F20" s="4" t="s">
        <v>20</v>
      </c>
    </row>
    <row r="21" spans="1:8">
      <c r="A21" s="4" t="s">
        <v>53</v>
      </c>
      <c r="B21" s="881">
        <v>2008</v>
      </c>
      <c r="C21" s="4" t="str">
        <f>CONCATENATE(A21," ",B21)</f>
        <v>Suisse 2008</v>
      </c>
      <c r="D21" s="5">
        <v>6.2199999999999998E-2</v>
      </c>
      <c r="F21" s="4" t="s">
        <v>30</v>
      </c>
    </row>
    <row r="22" spans="1:8" ht="15">
      <c r="A22" s="4" t="s">
        <v>33</v>
      </c>
      <c r="B22" s="881">
        <v>2008</v>
      </c>
      <c r="C22" s="4" t="str">
        <f t="shared" ref="C22:C35" si="0">CONCATENATE(A22," ",B22)</f>
        <v>Danemark 2008</v>
      </c>
      <c r="D22" s="7">
        <v>0.08</v>
      </c>
      <c r="E22" s="5">
        <f>F22-D22</f>
        <v>0.03</v>
      </c>
      <c r="F22" s="8">
        <v>0.11</v>
      </c>
    </row>
    <row r="23" spans="1:8">
      <c r="A23" s="4" t="s">
        <v>52</v>
      </c>
      <c r="B23" s="881">
        <v>2008</v>
      </c>
      <c r="C23" s="4" t="str">
        <f t="shared" si="0"/>
        <v>Suède 2008</v>
      </c>
      <c r="D23" s="5">
        <v>9.0999999999999998E-2</v>
      </c>
      <c r="E23" s="5">
        <f>F23-D23</f>
        <v>3.8000000000000006E-2</v>
      </c>
      <c r="F23" s="5">
        <v>0.129</v>
      </c>
    </row>
    <row r="24" spans="1:8">
      <c r="A24" s="4" t="s">
        <v>39</v>
      </c>
      <c r="B24" s="881">
        <v>2007</v>
      </c>
      <c r="C24" s="4" t="str">
        <f t="shared" si="0"/>
        <v>Allemagne 2007</v>
      </c>
      <c r="D24" s="5">
        <v>9.4700000000000006E-2</v>
      </c>
      <c r="F24" s="4" t="s">
        <v>30</v>
      </c>
    </row>
    <row r="25" spans="1:8" ht="15">
      <c r="A25" s="4" t="s">
        <v>45</v>
      </c>
      <c r="B25" s="881">
        <v>2006</v>
      </c>
      <c r="C25" s="4" t="str">
        <f t="shared" si="0"/>
        <v>Pays-Bas 2006</v>
      </c>
      <c r="D25" s="9">
        <v>9.8000000000000004E-2</v>
      </c>
      <c r="E25" s="5">
        <f>F25-D25</f>
        <v>4.0000000000000008E-2</v>
      </c>
      <c r="F25" s="5">
        <v>0.13800000000000001</v>
      </c>
    </row>
    <row r="26" spans="1:8" ht="15">
      <c r="A26" s="4" t="s">
        <v>35</v>
      </c>
      <c r="B26" s="881">
        <v>2008</v>
      </c>
      <c r="C26" s="4" t="str">
        <f t="shared" si="0"/>
        <v>Finlande 2008</v>
      </c>
      <c r="D26" s="9">
        <f>AVERAGE(8.73%, 10.9%)</f>
        <v>9.8150000000000001E-2</v>
      </c>
      <c r="E26" s="5">
        <f>F26-D26</f>
        <v>3.0649999999999997E-2</v>
      </c>
      <c r="F26" s="9">
        <f>AVERAGE(11.45%, 14.31%)</f>
        <v>0.1288</v>
      </c>
    </row>
    <row r="27" spans="1:8">
      <c r="A27" s="4" t="s">
        <v>55</v>
      </c>
      <c r="B27" s="881">
        <v>2005</v>
      </c>
      <c r="C27" s="4" t="str">
        <f t="shared" si="0"/>
        <v>Royaume-Uni 2005</v>
      </c>
      <c r="D27" s="8">
        <v>0.1</v>
      </c>
      <c r="E27" s="5"/>
    </row>
    <row r="28" spans="1:8">
      <c r="A28" s="4" t="s">
        <v>44</v>
      </c>
      <c r="B28" s="881">
        <v>2006</v>
      </c>
      <c r="C28" s="4" t="str">
        <f t="shared" si="0"/>
        <v>Italie 2006</v>
      </c>
      <c r="D28" s="5">
        <v>0.10199999999999999</v>
      </c>
      <c r="E28" s="5">
        <f>F28-D28</f>
        <v>2.2000000000000006E-2</v>
      </c>
      <c r="F28" s="5">
        <v>0.124</v>
      </c>
    </row>
    <row r="29" spans="1:8">
      <c r="A29" s="4" t="s">
        <v>42</v>
      </c>
      <c r="B29" s="881">
        <v>2008</v>
      </c>
      <c r="C29" s="4" t="str">
        <f t="shared" si="0"/>
        <v>Ireland 2008</v>
      </c>
      <c r="D29" s="5">
        <v>0.1021</v>
      </c>
      <c r="E29" s="5"/>
      <c r="F29" s="4" t="s">
        <v>43</v>
      </c>
    </row>
    <row r="30" spans="1:8">
      <c r="A30" s="4" t="s">
        <v>41</v>
      </c>
      <c r="B30" s="881">
        <v>2006</v>
      </c>
      <c r="C30" s="4" t="str">
        <f t="shared" si="0"/>
        <v>Grèce 2006</v>
      </c>
      <c r="D30" s="5">
        <v>0.104</v>
      </c>
      <c r="E30" s="5">
        <f>F30-D30</f>
        <v>4.0100000000000011E-2</v>
      </c>
      <c r="F30" s="5">
        <v>0.14410000000000001</v>
      </c>
    </row>
    <row r="31" spans="1:8">
      <c r="A31" s="4" t="s">
        <v>28</v>
      </c>
      <c r="B31" s="881" t="s">
        <v>60</v>
      </c>
      <c r="C31" s="4" t="str">
        <f t="shared" si="0"/>
        <v>Autriche 2004-2006, 2007?</v>
      </c>
      <c r="D31" s="5">
        <v>0.1048</v>
      </c>
      <c r="F31" s="4" t="s">
        <v>30</v>
      </c>
    </row>
    <row r="32" spans="1:8">
      <c r="A32" s="4" t="s">
        <v>38</v>
      </c>
      <c r="B32" s="881">
        <v>2008</v>
      </c>
      <c r="C32" s="4" t="str">
        <f t="shared" si="0"/>
        <v>France 2008</v>
      </c>
      <c r="D32" s="5">
        <v>0.107</v>
      </c>
      <c r="E32" s="5">
        <f>F32-D32</f>
        <v>1.3999999999999999E-2</v>
      </c>
      <c r="F32" s="5">
        <v>0.121</v>
      </c>
    </row>
    <row r="33" spans="1:6">
      <c r="A33" s="4" t="s">
        <v>51</v>
      </c>
      <c r="B33" s="881">
        <v>2008</v>
      </c>
      <c r="C33" s="4" t="str">
        <f t="shared" si="0"/>
        <v>Espagne 2008</v>
      </c>
      <c r="D33" s="5">
        <v>0.1081</v>
      </c>
      <c r="E33" s="5">
        <f>F33-D33</f>
        <v>8.3000000000000018E-3</v>
      </c>
      <c r="F33" s="5">
        <v>0.1164</v>
      </c>
    </row>
    <row r="34" spans="1:6">
      <c r="A34" s="4" t="s">
        <v>31</v>
      </c>
      <c r="B34" s="881">
        <v>2008</v>
      </c>
      <c r="C34" s="4" t="str">
        <f t="shared" si="0"/>
        <v>Belgique 2008</v>
      </c>
      <c r="D34" s="5">
        <v>0.112</v>
      </c>
      <c r="E34" s="5">
        <f>F34-D34</f>
        <v>1.0399999999999993E-2</v>
      </c>
      <c r="F34" s="5">
        <v>0.12239999999999999</v>
      </c>
    </row>
    <row r="35" spans="1:6">
      <c r="A35" s="4" t="s">
        <v>48</v>
      </c>
      <c r="B35" s="881">
        <v>2008</v>
      </c>
      <c r="C35" s="4" t="str">
        <f t="shared" si="0"/>
        <v>Norvège 2008</v>
      </c>
      <c r="D35" s="5">
        <v>0.125</v>
      </c>
      <c r="E35" s="5">
        <f>F35-D35</f>
        <v>0</v>
      </c>
      <c r="F35" s="5">
        <v>0.125</v>
      </c>
    </row>
    <row r="36" spans="1:6">
      <c r="A36" s="2" t="s">
        <v>3</v>
      </c>
      <c r="B36" s="881"/>
      <c r="C36" s="2" t="s">
        <v>61</v>
      </c>
      <c r="D36" s="5">
        <v>9.5299999999999996E-2</v>
      </c>
    </row>
    <row r="37" spans="1:6">
      <c r="B37" s="881"/>
      <c r="C37" s="2" t="s">
        <v>62</v>
      </c>
      <c r="D37" s="5">
        <v>9.0499999999999997E-2</v>
      </c>
    </row>
    <row r="38" spans="1:6">
      <c r="B38" s="881"/>
      <c r="C38" s="2" t="s">
        <v>63</v>
      </c>
      <c r="F38" s="5">
        <v>9.5200000000000007E-2</v>
      </c>
    </row>
    <row r="39" spans="1:6">
      <c r="B39" s="881"/>
      <c r="C39" s="2" t="s">
        <v>64</v>
      </c>
      <c r="D39" s="5">
        <f>AVERAGE(D21:D37)</f>
        <v>9.852058823529411E-2</v>
      </c>
      <c r="F39" s="5">
        <f>AVERAGE(F21:F37)</f>
        <v>0.12587000000000001</v>
      </c>
    </row>
    <row r="41" spans="1:6">
      <c r="E41" s="14"/>
    </row>
    <row r="43" spans="1:6">
      <c r="E43" s="5"/>
    </row>
  </sheetData>
  <phoneticPr fontId="16" type="noConversion"/>
  <hyperlinks>
    <hyperlink ref="E3" r:id="rId1" display="http://www.rtr.at/en/tk/KORE_2006"/>
  </hyperlinks>
  <pageMargins left="0.78740157499999996" right="0.78740157499999996" top="0.984251969" bottom="0.984251969" header="0.4921259845" footer="0.492125984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ma0d6816d453412a898e0908e90b1a73 xmlns="2b4b6fc7-bde4-44a8-8bca-a78eb25a27e9">
      <Terms xmlns="http://schemas.microsoft.com/office/infopath/2007/PartnerControls"/>
    </ma0d6816d453412a898e0908e90b1a73>
    <Dossier_x0020_Number xmlns="2b4b6fc7-bde4-44a8-8bca-a78eb25a27e9">2012-001468</Dossier_x0020_Number>
    <_dlc_DocId xmlns="2b4b6fc7-bde4-44a8-8bca-a78eb25a27e9">DS12-4322-206</_dlc_DocId>
    <o3cf37d2a5d34fd7955003a053893e5e xmlns="2b4b6fc7-bde4-44a8-8bca-a78eb25a27e9">
      <Terms xmlns="http://schemas.microsoft.com/office/infopath/2007/PartnerControls"/>
    </o3cf37d2a5d34fd7955003a053893e5e>
    <_dlc_DocIdUrl xmlns="2b4b6fc7-bde4-44a8-8bca-a78eb25a27e9">
      <Url>http://teamworkingspace.bipt.local/sites/dossiers2012/10/2012001468/_layouts/DocIdRedir.aspx?ID=DS12-4322-206</Url>
      <Description>DS12-4322-206</Description>
    </_dlc_DocIdUrl>
    <TaxCatchAll xmlns="2b4b6fc7-bde4-44a8-8bca-a78eb25a27e9">
      <Value>77</Value>
    </TaxCatchAll>
    <QuickPartDocumentId xmlns="2b4b6fc7-bde4-44a8-8bca-a78eb25a27e9">DS12-4322-206</QuickPartDocumentId>
    <d4ec9b080060429989fa5f940ee3f852 xmlns="2b4b6fc7-bde4-44a8-8bca-a78eb25a27e9">
      <Terms xmlns="http://schemas.microsoft.com/office/infopath/2007/PartnerControls">
        <TermInfo xmlns="http://schemas.microsoft.com/office/infopath/2007/PartnerControls">
          <TermName xmlns="http://schemas.microsoft.com/office/infopath/2007/PartnerControls">Telecom And Media</TermName>
          <TermId xmlns="http://schemas.microsoft.com/office/infopath/2007/PartnerControls">0d70e459-47d9-475b-bd99-b3a781cfdf71</TermId>
        </TermInfo>
      </Terms>
    </d4ec9b080060429989fa5f940ee3f852>
    <Version_x0020_Published_x0020_To_x0020_Library xmlns="2b4b6fc7-bde4-44a8-8bca-a78eb25a27e9" xsi:nil="true"/>
    <Version_x0020_Published_x0020_to_x0020_Internet xmlns="2b4b6fc7-bde4-44a8-8bca-a78eb25a27e9" xsi:nil="true"/>
    <History_x0020_of_x0020_Remarks xmlns="2b4b6fc7-bde4-44a8-8bca-a78eb25a27e9" xsi:nil="true"/>
    <Administrative xmlns="2b4b6fc7-bde4-44a8-8bca-a78eb25a27e9">false</Administrative>
    <Confidential1 xmlns="2b4b6fc7-bde4-44a8-8bca-a78eb25a27e9">false</Confidential1>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Add Dossier Service and Service Nr Eventhandler (Added)</Name>
    <Synchronization>Synchronous</Synchronization>
    <Type>10001</Type>
    <SequenceNumber>10030</SequenceNumber>
    <Assembly>BIPT.Ged, Version=1.0.0.0, Culture=neutral, PublicKeyToken=423c9e81cd84949a</Assembly>
    <Class>BIPT.Ged.EventReceivers.FillOutDossierServiceAndServiceNumber.FillOutDossierServiceAndServiceNumber</Class>
    <Data/>
    <Filter/>
  </Receiver>
  <Receiver>
    <Name>addin</Name>
    <Synchronization>Synchronous</Synchronization>
    <Type>1</Type>
    <SequenceNumber>10240</SequenceNumber>
    <Assembly>BIPT.Ged, Version=1.0.0.0, Culture=neutral, PublicKeyToken=423c9e81cd84949a</Assembly>
    <Class>BIPT.Ged.EventReceivers.FillOutDossierServiceAndServiceNumber.FillOutDossierServiceAndServiceNumber</Class>
    <Data/>
    <Filter/>
  </Receiver>
</spe:Receiver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ssier Document Telecom FR" ma:contentTypeID="0x0101004FA21861B553C741A1AA3F2E5831C1CC050A02009F0EADBAC43CDC44A6BB8D97CFBD6481" ma:contentTypeVersion="40" ma:contentTypeDescription="Een nieuw document maken." ma:contentTypeScope="" ma:versionID="d63914b7546a974f773c65df8c47eddf">
  <xsd:schema xmlns:xsd="http://www.w3.org/2001/XMLSchema" xmlns:xs="http://www.w3.org/2001/XMLSchema" xmlns:p="http://schemas.microsoft.com/office/2006/metadata/properties" xmlns:ns2="2b4b6fc7-bde4-44a8-8bca-a78eb25a27e9" targetNamespace="http://schemas.microsoft.com/office/2006/metadata/properties" ma:root="true" ma:fieldsID="785503cfb9f16b7db08318631db26aa4" ns2:_="">
    <xsd:import namespace="2b4b6fc7-bde4-44a8-8bca-a78eb25a27e9"/>
    <xsd:element name="properties">
      <xsd:complexType>
        <xsd:sequence>
          <xsd:element name="documentManagement">
            <xsd:complexType>
              <xsd:all>
                <xsd:element ref="ns2:Dossier_x0020_Number" minOccurs="0"/>
                <xsd:element ref="ns2:History_x0020_of_x0020_Remarks" minOccurs="0"/>
                <xsd:element ref="ns2:Administrative" minOccurs="0"/>
                <xsd:element ref="ns2:Confidential1" minOccurs="0"/>
                <xsd:element ref="ns2:Version_x0020_Published_x0020_To_x0020_Library" minOccurs="0"/>
                <xsd:element ref="ns2:Version_x0020_Published_x0020_to_x0020_Internet" minOccurs="0"/>
                <xsd:element ref="ns2:QuickPartDocumentId" minOccurs="0"/>
                <xsd:element ref="ns2:d4ec9b080060429989fa5f940ee3f852" minOccurs="0"/>
                <xsd:element ref="ns2:TaxCatchAll" minOccurs="0"/>
                <xsd:element ref="ns2:o3cf37d2a5d34fd7955003a053893e5e" minOccurs="0"/>
                <xsd:element ref="ns2:_dlc_DocId" minOccurs="0"/>
                <xsd:element ref="ns2:TaxCatchAllLabel" minOccurs="0"/>
                <xsd:element ref="ns2:ma0d6816d453412a898e0908e90b1a73"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6fc7-bde4-44a8-8bca-a78eb25a27e9" elementFormDefault="qualified">
    <xsd:import namespace="http://schemas.microsoft.com/office/2006/documentManagement/types"/>
    <xsd:import namespace="http://schemas.microsoft.com/office/infopath/2007/PartnerControls"/>
    <xsd:element name="Dossier_x0020_Number" ma:index="5" nillable="true" ma:displayName="Dossier Number" ma:internalName="Dossier_x0020_Number">
      <xsd:simpleType>
        <xsd:restriction base="dms:Text">
          <xsd:maxLength value="255"/>
        </xsd:restriction>
      </xsd:simpleType>
    </xsd:element>
    <xsd:element name="History_x0020_of_x0020_Remarks" ma:index="6" nillable="true" ma:displayName="History of Remarks" ma:internalName="History_x0020_of_x0020_Remarks">
      <xsd:simpleType>
        <xsd:restriction base="dms:Note">
          <xsd:maxLength value="255"/>
        </xsd:restriction>
      </xsd:simpleType>
    </xsd:element>
    <xsd:element name="Administrative" ma:index="7" nillable="true" ma:displayName="Administrative" ma:default="0" ma:internalName="Administrative">
      <xsd:simpleType>
        <xsd:restriction base="dms:Boolean"/>
      </xsd:simpleType>
    </xsd:element>
    <xsd:element name="Confidential1" ma:index="8" nillable="true" ma:displayName="Confidential" ma:default="0" ma:internalName="Confidential1">
      <xsd:simpleType>
        <xsd:restriction base="dms:Boolean"/>
      </xsd:simpleType>
    </xsd:element>
    <xsd:element name="Version_x0020_Published_x0020_To_x0020_Library" ma:index="9" nillable="true" ma:displayName="Version Published to Library" ma:internalName="Version_x0020_Published_x0020_To_x0020_Library">
      <xsd:simpleType>
        <xsd:restriction base="dms:Text">
          <xsd:maxLength value="255"/>
        </xsd:restriction>
      </xsd:simpleType>
    </xsd:element>
    <xsd:element name="Version_x0020_Published_x0020_to_x0020_Internet" ma:index="10" nillable="true" ma:displayName="Version Published to Internet" ma:internalName="Version_x0020_Published_x0020_to_x0020_Internet">
      <xsd:simpleType>
        <xsd:restriction base="dms:Text">
          <xsd:maxLength value="255"/>
        </xsd:restriction>
      </xsd:simpleType>
    </xsd:element>
    <xsd:element name="QuickPartDocumentId" ma:index="11" nillable="true" ma:displayName="Doc Id" ma:internalName="QuickPartDocumentId" ma:readOnly="false">
      <xsd:simpleType>
        <xsd:restriction base="dms:Text">
          <xsd:maxLength value="255"/>
        </xsd:restriction>
      </xsd:simpleType>
    </xsd:element>
    <xsd:element name="d4ec9b080060429989fa5f940ee3f852" ma:index="14" nillable="true" ma:taxonomy="true" ma:internalName="d4ec9b080060429989fa5f940ee3f852" ma:taxonomyFieldName="Service1" ma:displayName="Service" ma:readOnly="false" ma:default="" ma:fieldId="{d4ec9b08-0060-4299-89fa-5f940ee3f852}" ma:sspId="75b52628-4ae0-409d-b79e-6d0521b2c784" ma:termSetId="46b8dc2a-6372-4a7b-bdd4-6b0c5e787490"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aacb5312-317a-4e89-849f-bd5396de7844}" ma:internalName="TaxCatchAll" ma:showField="CatchAllData" ma:web="2b4b6fc7-bde4-44a8-8bca-a78eb25a27e9">
      <xsd:complexType>
        <xsd:complexContent>
          <xsd:extension base="dms:MultiChoiceLookup">
            <xsd:sequence>
              <xsd:element name="Value" type="dms:Lookup" maxOccurs="unbounded" minOccurs="0" nillable="true"/>
            </xsd:sequence>
          </xsd:extension>
        </xsd:complexContent>
      </xsd:complexType>
    </xsd:element>
    <xsd:element name="o3cf37d2a5d34fd7955003a053893e5e" ma:index="16" nillable="true" ma:taxonomy="true" ma:internalName="o3cf37d2a5d34fd7955003a053893e5e" ma:taxonomyFieldName="Languages" ma:displayName="Languages" ma:default="" ma:fieldId="{83cf37d2-a5d3-4fd7-9550-03a053893e5e}" ma:taxonomyMulti="true" ma:sspId="75b52628-4ae0-409d-b79e-6d0521b2c784" ma:termSetId="af6d6fcf-919d-4606-93f6-1f52cad124cb" ma:anchorId="00000000-0000-0000-0000-000000000000" ma:open="false" ma:isKeyword="false">
      <xsd:complexType>
        <xsd:sequence>
          <xsd:element ref="pc:Terms" minOccurs="0" maxOccurs="1"/>
        </xsd:sequence>
      </xsd:complex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TaxCatchAllLabel" ma:index="21" nillable="true" ma:displayName="Taxonomy Catch All Column1" ma:hidden="true" ma:list="{aacb5312-317a-4e89-849f-bd5396de7844}" ma:internalName="TaxCatchAllLabel" ma:readOnly="true" ma:showField="CatchAllDataLabel" ma:web="2b4b6fc7-bde4-44a8-8bca-a78eb25a27e9">
      <xsd:complexType>
        <xsd:complexContent>
          <xsd:extension base="dms:MultiChoiceLookup">
            <xsd:sequence>
              <xsd:element name="Value" type="dms:Lookup" maxOccurs="unbounded" minOccurs="0" nillable="true"/>
            </xsd:sequence>
          </xsd:extension>
        </xsd:complexContent>
      </xsd:complexType>
    </xsd:element>
    <xsd:element name="ma0d6816d453412a898e0908e90b1a73" ma:index="22" nillable="true" ma:taxonomy="true" ma:internalName="ma0d6816d453412a898e0908e90b1a73" ma:taxonomyFieldName="Telecom_x0020_Document_x0020_Type" ma:displayName="Telecom Document Type" ma:default="" ma:fieldId="{6a0d6816-d453-412a-898e-0908e90b1a73}" ma:sspId="75b52628-4ae0-409d-b79e-6d0521b2c784" ma:termSetId="70a71869-97dc-44c4-809f-c82c1748fef0" ma:anchorId="00000000-0000-0000-0000-000000000000" ma:open="false" ma:isKeyword="false">
      <xsd:complexType>
        <xsd:sequence>
          <xsd:element ref="pc:Terms" minOccurs="0" maxOccurs="1"/>
        </xsd:sequence>
      </xsd:complex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02A5D2-5DC4-4EDC-851A-72A649843131}">
  <ds:schemaRefs>
    <ds:schemaRef ds:uri="http://schemas.microsoft.com/office/2006/metadata/properties"/>
    <ds:schemaRef ds:uri="http://schemas.microsoft.com/office/infopath/2007/PartnerControls"/>
    <ds:schemaRef ds:uri="2b4b6fc7-bde4-44a8-8bca-a78eb25a27e9"/>
  </ds:schemaRefs>
</ds:datastoreItem>
</file>

<file path=customXml/itemProps2.xml><?xml version="1.0" encoding="utf-8"?>
<ds:datastoreItem xmlns:ds="http://schemas.openxmlformats.org/officeDocument/2006/customXml" ds:itemID="{F329AC20-107E-4EC3-AFB9-2C9EBADDFC65}">
  <ds:schemaRefs>
    <ds:schemaRef ds:uri="http://schemas.microsoft.com/sharepoint/events"/>
  </ds:schemaRefs>
</ds:datastoreItem>
</file>

<file path=customXml/itemProps3.xml><?xml version="1.0" encoding="utf-8"?>
<ds:datastoreItem xmlns:ds="http://schemas.openxmlformats.org/officeDocument/2006/customXml" ds:itemID="{4309A7A1-EAFE-4732-B0FD-4A5AE6AF5E53}">
  <ds:schemaRefs>
    <ds:schemaRef ds:uri="http://schemas.microsoft.com/office/2006/metadata/customXsn"/>
  </ds:schemaRefs>
</ds:datastoreItem>
</file>

<file path=customXml/itemProps4.xml><?xml version="1.0" encoding="utf-8"?>
<ds:datastoreItem xmlns:ds="http://schemas.openxmlformats.org/officeDocument/2006/customXml" ds:itemID="{C117BEBE-BAA8-4119-BB57-0F252648916A}">
  <ds:schemaRefs>
    <ds:schemaRef ds:uri="http://schemas.microsoft.com/sharepoint/v3/contenttype/forms"/>
  </ds:schemaRefs>
</ds:datastoreItem>
</file>

<file path=customXml/itemProps5.xml><?xml version="1.0" encoding="utf-8"?>
<ds:datastoreItem xmlns:ds="http://schemas.openxmlformats.org/officeDocument/2006/customXml" ds:itemID="{8480B6E8-CB4F-4577-8922-5165BCADB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6fc7-bde4-44a8-8bca-a78eb25a2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INDEX-SUMMARY</vt:lpstr>
      <vt:lpstr>FINAL BIPT &amp; Cullen 2014</vt:lpstr>
      <vt:lpstr>Vs. Consultation Version </vt:lpstr>
      <vt:lpstr>TO MS WORD</vt:lpstr>
      <vt:lpstr>(Cullen 2010 Fixed)</vt:lpstr>
      <vt:lpstr>(Cullen 2010 Mobile)</vt:lpstr>
      <vt:lpstr>Feuil2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djibril diakité</dc:creator>
  <cp:lastModifiedBy>Mieke de Regt</cp:lastModifiedBy>
  <cp:lastPrinted>2009-04-14T04:38:16Z</cp:lastPrinted>
  <dcterms:created xsi:type="dcterms:W3CDTF">2006-03-09T22:15:29Z</dcterms:created>
  <dcterms:modified xsi:type="dcterms:W3CDTF">2015-02-04T15:12:00Z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8de4f375-33f6-455b-9a37-a56a580020a4</vt:lpwstr>
  </property>
  <property fmtid="{D5CDD505-2E9C-101B-9397-08002B2CF9AE}" pid="3" name="Telecom_x0020_Document_x0020_Type">
    <vt:lpwstr/>
  </property>
  <property fmtid="{D5CDD505-2E9C-101B-9397-08002B2CF9AE}" pid="4" name="ContentTypeId">
    <vt:lpwstr>0x0101004FA21861B553C741A1AA3F2E5831C1CC050A02009F0EADBAC43CDC44A6BB8D97CFBD6481</vt:lpwstr>
  </property>
  <property fmtid="{D5CDD505-2E9C-101B-9397-08002B2CF9AE}" pid="5" name="Languages">
    <vt:lpwstr/>
  </property>
  <property fmtid="{D5CDD505-2E9C-101B-9397-08002B2CF9AE}" pid="6" name="Service1">
    <vt:lpwstr>77;#Telecom And Media|0d70e459-47d9-475b-bd99-b3a781cfdf71</vt:lpwstr>
  </property>
  <property fmtid="{D5CDD505-2E9C-101B-9397-08002B2CF9AE}" pid="7" name="Telecom Document Type">
    <vt:lpwstr/>
  </property>
</Properties>
</file>