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drawings/drawing2.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5.xml" ContentType="application/vnd.openxmlformats-officedocument.drawingml.chartshapes+xml"/>
  <Override PartName="/xl/drawings/drawing7.xml" ContentType="application/vnd.openxmlformats-officedocument.drawingml.chartshapes+xml"/>
  <Override PartName="/xl/drawings/drawing13.xml" ContentType="application/vnd.openxmlformats-officedocument.drawingml.chartshapes+xml"/>
  <Override PartName="/xl/drawings/drawing4.xml" ContentType="application/vnd.openxmlformats-officedocument.drawingml.chartshapes+xml"/>
  <Override PartName="/xl/drawings/drawing16.xml" ContentType="application/vnd.openxmlformats-officedocument.drawingml.chartshapes+xml"/>
  <Override PartName="/xl/drawings/drawing15.xml" ContentType="application/vnd.openxmlformats-officedocument.drawingml.chartshapes+xml"/>
  <Override PartName="/xl/drawings/drawing14.xml" ContentType="application/vnd.openxmlformats-officedocument.drawingml.chartshapes+xml"/>
  <Override PartName="/xl/drawings/drawing12.xml" ContentType="application/vnd.openxmlformats-officedocument.drawingml.chartshapes+xml"/>
  <Override PartName="/xl/workbook.xml" ContentType="application/vnd.openxmlformats-officedocument.spreadsheetml.sheet.main+xml"/>
  <Override PartName="/xl/charts/chart1.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charts/chart14.xml" ContentType="application/vnd.openxmlformats-officedocument.drawingml.chart+xml"/>
  <Override PartName="/xl/charts/chart15.xml" ContentType="application/vnd.openxmlformats-officedocument.drawingml.chart+xml"/>
  <Override PartName="/xl/drawings/drawing1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worksheets/sheet1.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charts/chart7.xml" ContentType="application/vnd.openxmlformats-officedocument.drawingml.chart+xml"/>
  <Override PartName="/xl/styles.xml" ContentType="application/vnd.openxmlformats-officedocument.spreadsheetml.styles+xml"/>
  <Override PartName="/xl/drawings/drawing10.xml" ContentType="application/vnd.openxmlformats-officedocument.drawing+xml"/>
  <Override PartName="/xl/charts/chart8.xml" ContentType="application/vnd.openxmlformats-officedocument.drawingml.chart+xml"/>
  <Override PartName="/xl/drawings/drawing17.xml" ContentType="application/vnd.openxmlformats-officedocument.drawing+xml"/>
  <Override PartName="/xl/charts/chart6.xml" ContentType="application/vnd.openxmlformats-officedocument.drawingml.chart+xml"/>
  <Override PartName="/xl/charts/chart5.xml" ContentType="application/vnd.openxmlformats-officedocument.drawingml.chart+xml"/>
  <Override PartName="/xl/drawings/drawing1.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9.xml" ContentType="application/vnd.openxmlformats-officedocument.drawingml.chart+xml"/>
  <Override PartName="/xl/theme/theme1.xml" ContentType="application/vnd.openxmlformats-officedocument.theme+xml"/>
  <Override PartName="/xl/worksheets/sheet5.xml" ContentType="application/vnd.openxmlformats-officedocument.spreadsheetml.worksheet+xml"/>
  <Override PartName="/xl/charts/chart12.xml" ContentType="application/vnd.openxmlformats-officedocument.drawingml.chart+xml"/>
  <Override PartName="/xl/charts/chart10.xml" ContentType="application/vnd.openxmlformats-officedocument.drawingml.chart+xml"/>
  <Override PartName="/xl/worksheets/sheet6.xml" ContentType="application/vnd.openxmlformats-officedocument.spreadsheetml.worksheet+xml"/>
  <Override PartName="/xl/worksheets/sheet4.xml" ContentType="application/vnd.openxmlformats-officedocument.spreadsheetml.worksheet+xml"/>
  <Override PartName="/xl/charts/chart11.xml" ContentType="application/vnd.openxmlformats-officedocument.drawingml.chart+xml"/>
  <Override PartName="/xl/worksheets/sheet7.xml" ContentType="application/vnd.openxmlformats-officedocument.spreadsheetml.worksheet+xml"/>
  <Override PartName="/xl/charts/chart13.xml" ContentType="application/vnd.openxmlformats-officedocument.drawingml.chart+xml"/>
  <Override PartName="/xl/externalLinks/externalLink1.xml" ContentType="application/vnd.openxmlformats-officedocument.spreadsheetml.externalLink+xml"/>
  <Override PartName="/xl/comments3.xml" ContentType="application/vnd.openxmlformats-officedocument.spreadsheetml.comments+xml"/>
  <Override PartName="/xl/comments1.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2" windowWidth="23088" windowHeight="5496" tabRatio="662"/>
  </bookViews>
  <sheets>
    <sheet name="INDEX-SUMMARY" sheetId="9" r:id="rId1"/>
    <sheet name="WACC BIPT &amp; Cullen 2013" sheetId="8" r:id="rId2"/>
    <sheet name="OUTPUTS" sheetId="12" r:id="rId3"/>
    <sheet name="For Simulations" sheetId="16" r:id="rId4"/>
    <sheet name="(Cullen 2010 Fixed)" sheetId="7" r:id="rId5"/>
    <sheet name="(Cullen 2010 Mobile)" sheetId="4" r:id="rId6"/>
    <sheet name="Feuil2" sheetId="2" state="hidden" r:id="rId7"/>
  </sheets>
  <externalReferences>
    <externalReference r:id="rId8"/>
  </externalReferences>
  <definedNames>
    <definedName name="Blp_Fields" localSheetId="3">#REF!</definedName>
    <definedName name="Blp_Fields">#REF!</definedName>
    <definedName name="BLPB_Facteurs_de_dette" localSheetId="3">#REF!</definedName>
    <definedName name="BLPB_Facteurs_de_dette">#REF!</definedName>
    <definedName name="BLPB_Valeur_Entrep_VE" localSheetId="3">#REF!</definedName>
    <definedName name="BLPB_Valeur_Entrep_VE">#REF!</definedName>
    <definedName name="HTML_CodePage" hidden="1">1252</definedName>
    <definedName name="HTML_Control" hidden="1">{"'Sheet1'!$A$1:$O$40"}</definedName>
    <definedName name="HTML_Description" hidden="1">""</definedName>
    <definedName name="HTML_Email" hidden="1">""</definedName>
    <definedName name="HTML_Header" hidden="1">"Sheet1"</definedName>
    <definedName name="HTML_LastUpdate" hidden="1">"2/5/99"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HD:HomePageStuff:pc:datasets:implprem.html"</definedName>
    <definedName name="HTML_Title" hidden="1">"S&amp;P Implied Equity Premiums"</definedName>
    <definedName name="HTML1_1" hidden="1">"[RiskPremiumUS]Sheet1!$A$1:$M$38"</definedName>
    <definedName name="HTML1_10" hidden="1">""</definedName>
    <definedName name="HTML1_11" hidden="1">1</definedName>
    <definedName name="HTML1_12" hidden="1">"Zip 100:New_Home_Page:datafile:implpr.html"</definedName>
    <definedName name="HTML1_2" hidden="1">1</definedName>
    <definedName name="HTML1_3" hidden="1">"RiskPremiumUS"</definedName>
    <definedName name="HTML1_4" hidden="1">"Implied Risk Premiums for US"</definedName>
    <definedName name="HTML1_5" hidden="1">""</definedName>
    <definedName name="HTML1_6" hidden="1">-4146</definedName>
    <definedName name="HTML1_7" hidden="1">-4146</definedName>
    <definedName name="HTML1_8" hidden="1">"3/19/97"</definedName>
    <definedName name="HTML1_9" hidden="1">"Aswath Damodaran"</definedName>
    <definedName name="HTMLCount" hidden="1">1</definedName>
  </definedNames>
  <calcPr calcId="125725"/>
</workbook>
</file>

<file path=xl/calcChain.xml><?xml version="1.0" encoding="utf-8"?>
<calcChain xmlns="http://schemas.openxmlformats.org/spreadsheetml/2006/main">
  <c r="L86" i="16"/>
  <c r="H86"/>
  <c r="D86"/>
  <c r="R85"/>
  <c r="Q85"/>
  <c r="O85"/>
  <c r="N85"/>
  <c r="M85"/>
  <c r="J85"/>
  <c r="I85"/>
  <c r="G84"/>
  <c r="F85"/>
  <c r="E85"/>
  <c r="N83"/>
  <c r="J83"/>
  <c r="I83"/>
  <c r="F83"/>
  <c r="P82"/>
  <c r="M82"/>
  <c r="L82"/>
  <c r="H82"/>
  <c r="E82"/>
  <c r="M86"/>
  <c r="K86"/>
  <c r="E86"/>
  <c r="D77"/>
  <c r="Q73"/>
  <c r="Q72"/>
  <c r="K71"/>
  <c r="K70"/>
  <c r="O69"/>
  <c r="E69"/>
  <c r="N68"/>
  <c r="I68"/>
  <c r="E68"/>
  <c r="M67"/>
  <c r="I67"/>
  <c r="G66"/>
  <c r="Q62"/>
  <c r="N61"/>
  <c r="M58"/>
  <c r="D78"/>
  <c r="K76"/>
  <c r="P75"/>
  <c r="H75"/>
  <c r="M74"/>
  <c r="E74"/>
  <c r="J73"/>
  <c r="O72"/>
  <c r="G72"/>
  <c r="L71"/>
  <c r="Q70"/>
  <c r="I70"/>
  <c r="N69"/>
  <c r="F69"/>
  <c r="K68"/>
  <c r="P67"/>
  <c r="H67"/>
  <c r="M66"/>
  <c r="E66"/>
  <c r="J63"/>
  <c r="O62"/>
  <c r="G62"/>
  <c r="L61"/>
  <c r="Q59"/>
  <c r="I59"/>
  <c r="N58"/>
  <c r="F58"/>
  <c r="K57"/>
  <c r="BA1" i="8"/>
  <c r="BQ1"/>
  <c r="R115" i="16"/>
  <c r="R116"/>
  <c r="R117"/>
  <c r="R118"/>
  <c r="R119"/>
  <c r="R120"/>
  <c r="R121"/>
  <c r="R122"/>
  <c r="R123"/>
  <c r="R124"/>
  <c r="R114"/>
  <c r="E115"/>
  <c r="F115"/>
  <c r="G115"/>
  <c r="H115"/>
  <c r="I115"/>
  <c r="J115"/>
  <c r="K115"/>
  <c r="L115"/>
  <c r="M115"/>
  <c r="N115"/>
  <c r="O115"/>
  <c r="P115"/>
  <c r="Q115"/>
  <c r="E116"/>
  <c r="F116"/>
  <c r="G116"/>
  <c r="H116"/>
  <c r="I116"/>
  <c r="J116"/>
  <c r="K116"/>
  <c r="L116"/>
  <c r="M116"/>
  <c r="N116"/>
  <c r="O116"/>
  <c r="P116"/>
  <c r="Q116"/>
  <c r="E117"/>
  <c r="F117"/>
  <c r="G117"/>
  <c r="H117"/>
  <c r="I117"/>
  <c r="J117"/>
  <c r="K117"/>
  <c r="L117"/>
  <c r="M117"/>
  <c r="N117"/>
  <c r="O117"/>
  <c r="P117"/>
  <c r="Q117"/>
  <c r="E118"/>
  <c r="F118"/>
  <c r="G118"/>
  <c r="H118"/>
  <c r="I118"/>
  <c r="J118"/>
  <c r="K118"/>
  <c r="L118"/>
  <c r="M118"/>
  <c r="N118"/>
  <c r="O118"/>
  <c r="P118"/>
  <c r="Q118"/>
  <c r="E119"/>
  <c r="F119"/>
  <c r="G119"/>
  <c r="H119"/>
  <c r="I119"/>
  <c r="J119"/>
  <c r="K119"/>
  <c r="L119"/>
  <c r="M119"/>
  <c r="N119"/>
  <c r="O119"/>
  <c r="P119"/>
  <c r="Q119"/>
  <c r="E120"/>
  <c r="F120"/>
  <c r="G120"/>
  <c r="H120"/>
  <c r="I120"/>
  <c r="J120"/>
  <c r="K120"/>
  <c r="L120"/>
  <c r="M120"/>
  <c r="N120"/>
  <c r="O120"/>
  <c r="P120"/>
  <c r="Q120"/>
  <c r="E121"/>
  <c r="F121"/>
  <c r="G121"/>
  <c r="H121"/>
  <c r="I121"/>
  <c r="J121"/>
  <c r="K121"/>
  <c r="L121"/>
  <c r="M121"/>
  <c r="N121"/>
  <c r="O121"/>
  <c r="P121"/>
  <c r="Q121"/>
  <c r="E122"/>
  <c r="F122"/>
  <c r="G122"/>
  <c r="H122"/>
  <c r="I122"/>
  <c r="J122"/>
  <c r="K122"/>
  <c r="L122"/>
  <c r="M122"/>
  <c r="N122"/>
  <c r="O122"/>
  <c r="P122"/>
  <c r="Q122"/>
  <c r="E123"/>
  <c r="F123"/>
  <c r="G123"/>
  <c r="H123"/>
  <c r="I123"/>
  <c r="J123"/>
  <c r="K123"/>
  <c r="L123"/>
  <c r="M123"/>
  <c r="N123"/>
  <c r="O123"/>
  <c r="P123"/>
  <c r="Q123"/>
  <c r="E124"/>
  <c r="F124"/>
  <c r="G124"/>
  <c r="H124"/>
  <c r="I124"/>
  <c r="J124"/>
  <c r="K124"/>
  <c r="L124"/>
  <c r="M124"/>
  <c r="N124"/>
  <c r="O124"/>
  <c r="P124"/>
  <c r="Q124"/>
  <c r="F114"/>
  <c r="G114"/>
  <c r="H114"/>
  <c r="I114"/>
  <c r="J114"/>
  <c r="K114"/>
  <c r="L114"/>
  <c r="M114"/>
  <c r="N114"/>
  <c r="O114"/>
  <c r="P114"/>
  <c r="Q114"/>
  <c r="E114"/>
  <c r="R92"/>
  <c r="Q92"/>
  <c r="P92"/>
  <c r="O92"/>
  <c r="N92"/>
  <c r="M92"/>
  <c r="L92"/>
  <c r="K92"/>
  <c r="J92"/>
  <c r="I92"/>
  <c r="H92"/>
  <c r="G92"/>
  <c r="F92"/>
  <c r="E92"/>
  <c r="D92"/>
  <c r="R91"/>
  <c r="Q91"/>
  <c r="P91"/>
  <c r="O91"/>
  <c r="N91"/>
  <c r="M91"/>
  <c r="L91"/>
  <c r="K91"/>
  <c r="J91"/>
  <c r="I91"/>
  <c r="H91"/>
  <c r="G91"/>
  <c r="F91"/>
  <c r="E91"/>
  <c r="D91"/>
  <c r="E90"/>
  <c r="F90"/>
  <c r="G90"/>
  <c r="H90"/>
  <c r="I90"/>
  <c r="J90"/>
  <c r="K90"/>
  <c r="L90"/>
  <c r="M90"/>
  <c r="N90"/>
  <c r="O90"/>
  <c r="P90"/>
  <c r="Q90"/>
  <c r="R90"/>
  <c r="D90"/>
  <c r="D83"/>
  <c r="E83"/>
  <c r="G83"/>
  <c r="H83"/>
  <c r="K83"/>
  <c r="L83"/>
  <c r="M83"/>
  <c r="O83"/>
  <c r="P83"/>
  <c r="Q83"/>
  <c r="R83"/>
  <c r="D84"/>
  <c r="E84"/>
  <c r="F84"/>
  <c r="H84"/>
  <c r="I84"/>
  <c r="J84"/>
  <c r="K84"/>
  <c r="L84"/>
  <c r="M84"/>
  <c r="N84"/>
  <c r="O84"/>
  <c r="P84"/>
  <c r="Q84"/>
  <c r="R84"/>
  <c r="D85"/>
  <c r="H85"/>
  <c r="K85"/>
  <c r="L85"/>
  <c r="P85"/>
  <c r="F86"/>
  <c r="G86"/>
  <c r="I86"/>
  <c r="J86"/>
  <c r="N86"/>
  <c r="O86"/>
  <c r="P86"/>
  <c r="Q86"/>
  <c r="R86"/>
  <c r="F82"/>
  <c r="G82"/>
  <c r="I82"/>
  <c r="J82"/>
  <c r="K82"/>
  <c r="N82"/>
  <c r="O82"/>
  <c r="Q82"/>
  <c r="R82"/>
  <c r="D82"/>
  <c r="E67"/>
  <c r="E101" s="1"/>
  <c r="F67"/>
  <c r="F101" s="1"/>
  <c r="G67"/>
  <c r="J67"/>
  <c r="K67"/>
  <c r="L67"/>
  <c r="N67"/>
  <c r="O67"/>
  <c r="O101" s="1"/>
  <c r="Q67"/>
  <c r="Q101" s="1"/>
  <c r="F68"/>
  <c r="G68"/>
  <c r="H68"/>
  <c r="H102" s="1"/>
  <c r="J68"/>
  <c r="L68"/>
  <c r="L102" s="1"/>
  <c r="M68"/>
  <c r="M102" s="1"/>
  <c r="O68"/>
  <c r="P68"/>
  <c r="P102" s="1"/>
  <c r="Q68"/>
  <c r="G69"/>
  <c r="G103" s="1"/>
  <c r="H69"/>
  <c r="I69"/>
  <c r="J69"/>
  <c r="K69"/>
  <c r="K103" s="1"/>
  <c r="L69"/>
  <c r="M69"/>
  <c r="P69"/>
  <c r="Q69"/>
  <c r="E70"/>
  <c r="F70"/>
  <c r="F104" s="1"/>
  <c r="G70"/>
  <c r="H70"/>
  <c r="H104" s="1"/>
  <c r="J70"/>
  <c r="J104" s="1"/>
  <c r="L70"/>
  <c r="M70"/>
  <c r="N70"/>
  <c r="O70"/>
  <c r="P70"/>
  <c r="E71"/>
  <c r="E105" s="1"/>
  <c r="F71"/>
  <c r="G71"/>
  <c r="H71"/>
  <c r="I71"/>
  <c r="I105" s="1"/>
  <c r="J71"/>
  <c r="M71"/>
  <c r="N71"/>
  <c r="O71"/>
  <c r="P71"/>
  <c r="Q71"/>
  <c r="E72"/>
  <c r="F72"/>
  <c r="H72"/>
  <c r="I72"/>
  <c r="J72"/>
  <c r="K72"/>
  <c r="L72"/>
  <c r="L106" s="1"/>
  <c r="M72"/>
  <c r="N72"/>
  <c r="P72"/>
  <c r="E73"/>
  <c r="F73"/>
  <c r="G73"/>
  <c r="G107" s="1"/>
  <c r="H73"/>
  <c r="I73"/>
  <c r="K73"/>
  <c r="K107" s="1"/>
  <c r="L73"/>
  <c r="M73"/>
  <c r="N73"/>
  <c r="O73"/>
  <c r="P73"/>
  <c r="F74"/>
  <c r="F108" s="1"/>
  <c r="G74"/>
  <c r="H74"/>
  <c r="I74"/>
  <c r="J74"/>
  <c r="J108" s="1"/>
  <c r="K74"/>
  <c r="L74"/>
  <c r="N74"/>
  <c r="O74"/>
  <c r="P74"/>
  <c r="Q74"/>
  <c r="E75"/>
  <c r="E109" s="1"/>
  <c r="F75"/>
  <c r="G75"/>
  <c r="I75"/>
  <c r="I109" s="1"/>
  <c r="J75"/>
  <c r="K75"/>
  <c r="L75"/>
  <c r="M75"/>
  <c r="N75"/>
  <c r="O75"/>
  <c r="Q75"/>
  <c r="E76"/>
  <c r="F76"/>
  <c r="G76"/>
  <c r="H76"/>
  <c r="H110" s="1"/>
  <c r="I76"/>
  <c r="J76"/>
  <c r="L76"/>
  <c r="L110" s="1"/>
  <c r="M76"/>
  <c r="N76"/>
  <c r="O76"/>
  <c r="P76"/>
  <c r="Q76"/>
  <c r="F66"/>
  <c r="H66"/>
  <c r="I66"/>
  <c r="J66"/>
  <c r="K66"/>
  <c r="L66"/>
  <c r="N66"/>
  <c r="O66"/>
  <c r="P66"/>
  <c r="Q66"/>
  <c r="E62"/>
  <c r="F62"/>
  <c r="H62"/>
  <c r="I62"/>
  <c r="J62"/>
  <c r="K62"/>
  <c r="L62"/>
  <c r="M62"/>
  <c r="N62"/>
  <c r="P62"/>
  <c r="E63"/>
  <c r="F63"/>
  <c r="G63"/>
  <c r="H63"/>
  <c r="I63"/>
  <c r="K63"/>
  <c r="L63"/>
  <c r="M63"/>
  <c r="N63"/>
  <c r="O63"/>
  <c r="P63"/>
  <c r="Q63"/>
  <c r="F61"/>
  <c r="G61"/>
  <c r="H61"/>
  <c r="I61"/>
  <c r="J61"/>
  <c r="K61"/>
  <c r="M61"/>
  <c r="O61"/>
  <c r="P61"/>
  <c r="Q61"/>
  <c r="E61"/>
  <c r="E58"/>
  <c r="G58"/>
  <c r="H58"/>
  <c r="I58"/>
  <c r="J58"/>
  <c r="K58"/>
  <c r="L58"/>
  <c r="O58"/>
  <c r="P58"/>
  <c r="Q58"/>
  <c r="E59"/>
  <c r="F59"/>
  <c r="G59"/>
  <c r="H59"/>
  <c r="J59"/>
  <c r="K59"/>
  <c r="L59"/>
  <c r="M59"/>
  <c r="N59"/>
  <c r="O59"/>
  <c r="P59"/>
  <c r="F57"/>
  <c r="G57"/>
  <c r="H57"/>
  <c r="I57"/>
  <c r="J57"/>
  <c r="L57"/>
  <c r="M57"/>
  <c r="N57"/>
  <c r="O57"/>
  <c r="P57"/>
  <c r="Q57"/>
  <c r="E57"/>
  <c r="D55"/>
  <c r="K32" i="12"/>
  <c r="I32"/>
  <c r="G32"/>
  <c r="D32"/>
  <c r="CH62" i="8"/>
  <c r="L109" i="16" l="1"/>
  <c r="O102"/>
  <c r="I108"/>
  <c r="H105"/>
  <c r="F107"/>
  <c r="J103"/>
  <c r="L101"/>
  <c r="F103"/>
  <c r="J107"/>
  <c r="E103"/>
  <c r="H101"/>
  <c r="M101"/>
  <c r="I104"/>
  <c r="H109"/>
  <c r="I101"/>
  <c r="G85"/>
  <c r="E111"/>
  <c r="E110"/>
  <c r="J109"/>
  <c r="G108"/>
  <c r="I106"/>
  <c r="F105"/>
  <c r="J100"/>
  <c r="H108"/>
  <c r="E107"/>
  <c r="I103"/>
  <c r="H111"/>
  <c r="N100"/>
  <c r="E102"/>
  <c r="J111"/>
  <c r="F110"/>
  <c r="K109"/>
  <c r="J106"/>
  <c r="G105"/>
  <c r="L104"/>
  <c r="N102"/>
  <c r="F102"/>
  <c r="K101"/>
  <c r="L107"/>
  <c r="K111"/>
  <c r="P100"/>
  <c r="H100"/>
  <c r="G110"/>
  <c r="K106"/>
  <c r="Q100"/>
  <c r="I100"/>
  <c r="I110"/>
  <c r="F109"/>
  <c r="K108"/>
  <c r="H107"/>
  <c r="E106"/>
  <c r="J105"/>
  <c r="G104"/>
  <c r="L103"/>
  <c r="Q102"/>
  <c r="I102"/>
  <c r="N101"/>
  <c r="K104"/>
  <c r="F100"/>
  <c r="F111"/>
  <c r="H106"/>
  <c r="J110"/>
  <c r="G109"/>
  <c r="L108"/>
  <c r="I107"/>
  <c r="F106"/>
  <c r="K105"/>
  <c r="J102"/>
  <c r="J101"/>
  <c r="I111"/>
  <c r="G111"/>
  <c r="L100"/>
  <c r="K110"/>
  <c r="G106"/>
  <c r="K102"/>
  <c r="M100"/>
  <c r="L111"/>
  <c r="H103"/>
  <c r="E104"/>
  <c r="G102"/>
  <c r="E100"/>
  <c r="K100"/>
  <c r="G101"/>
  <c r="E108"/>
  <c r="L105"/>
  <c r="P101"/>
  <c r="O100"/>
  <c r="G100"/>
  <c r="U32"/>
  <c r="Y31"/>
  <c r="Y32" s="1"/>
  <c r="X31"/>
  <c r="X32" s="1"/>
  <c r="W31"/>
  <c r="W32" s="1"/>
  <c r="V31"/>
  <c r="V32" s="1"/>
  <c r="Y23"/>
  <c r="U17"/>
  <c r="Y12"/>
  <c r="X12"/>
  <c r="X23" s="1"/>
  <c r="W12"/>
  <c r="W23" s="1"/>
  <c r="V12"/>
  <c r="V23" s="1"/>
  <c r="U12"/>
  <c r="U23" s="1"/>
  <c r="Y7"/>
  <c r="X7"/>
  <c r="W7"/>
  <c r="V7"/>
  <c r="U6"/>
  <c r="Y5"/>
  <c r="X5"/>
  <c r="W5"/>
  <c r="V5"/>
  <c r="Y3"/>
  <c r="Y25" s="1"/>
  <c r="X3"/>
  <c r="X6" s="1"/>
  <c r="W3"/>
  <c r="W17" s="1"/>
  <c r="V3"/>
  <c r="V17" s="1"/>
  <c r="W6" l="1"/>
  <c r="Y20"/>
  <c r="V6"/>
  <c r="Y6"/>
  <c r="X20"/>
  <c r="W20"/>
  <c r="W25"/>
  <c r="W28" s="1"/>
  <c r="V20"/>
  <c r="V25"/>
  <c r="V28" s="1"/>
  <c r="U20"/>
  <c r="U25"/>
  <c r="U28" s="1"/>
  <c r="X25"/>
  <c r="Y17"/>
  <c r="Y28" s="1"/>
  <c r="X17"/>
  <c r="Y41" i="8"/>
  <c r="AF39"/>
  <c r="AF29"/>
  <c r="Y29"/>
  <c r="X28" i="16" l="1"/>
  <c r="Y29"/>
  <c r="AB10"/>
  <c r="AI2" i="8"/>
  <c r="AD2" i="16"/>
  <c r="AC2"/>
  <c r="AB2"/>
  <c r="C72" l="1"/>
  <c r="C70"/>
  <c r="C69"/>
  <c r="C68"/>
  <c r="C66"/>
  <c r="D18" s="1"/>
  <c r="AG14" s="1"/>
  <c r="Z60"/>
  <c r="W60"/>
  <c r="Z59"/>
  <c r="W59"/>
  <c r="Z58"/>
  <c r="W58"/>
  <c r="Z56"/>
  <c r="W56"/>
  <c r="R34"/>
  <c r="R35" s="1"/>
  <c r="Q34"/>
  <c r="Q35" s="1"/>
  <c r="P34"/>
  <c r="O34"/>
  <c r="N34"/>
  <c r="N35" s="1"/>
  <c r="M34"/>
  <c r="M35" s="1"/>
  <c r="L34"/>
  <c r="L35" s="1"/>
  <c r="K34"/>
  <c r="K35" s="1"/>
  <c r="I34"/>
  <c r="I35" s="1"/>
  <c r="H34"/>
  <c r="H35" s="1"/>
  <c r="F34"/>
  <c r="F35" s="1"/>
  <c r="E34"/>
  <c r="E35" s="1"/>
  <c r="D34"/>
  <c r="J34" s="1"/>
  <c r="G34" s="1"/>
  <c r="J31"/>
  <c r="R31" s="1"/>
  <c r="S24"/>
  <c r="S20"/>
  <c r="P16"/>
  <c r="AI16" s="1"/>
  <c r="J16"/>
  <c r="K16" s="1"/>
  <c r="AG10"/>
  <c r="S10"/>
  <c r="N14" s="1"/>
  <c r="P8"/>
  <c r="J8"/>
  <c r="D8"/>
  <c r="R7"/>
  <c r="Q7"/>
  <c r="P7"/>
  <c r="O7"/>
  <c r="N7"/>
  <c r="M7"/>
  <c r="L7"/>
  <c r="K7"/>
  <c r="I7"/>
  <c r="H7"/>
  <c r="G7"/>
  <c r="F7"/>
  <c r="E7"/>
  <c r="D7"/>
  <c r="J5"/>
  <c r="P4"/>
  <c r="AI4" s="1"/>
  <c r="J4"/>
  <c r="AH4" s="1"/>
  <c r="D4"/>
  <c r="AG4" s="1"/>
  <c r="P3"/>
  <c r="AI3" s="1"/>
  <c r="J3"/>
  <c r="D3"/>
  <c r="AG3" s="1"/>
  <c r="AI2"/>
  <c r="AH2"/>
  <c r="AG2"/>
  <c r="R2"/>
  <c r="R8" s="1"/>
  <c r="Q2"/>
  <c r="Q8" s="1"/>
  <c r="M2"/>
  <c r="L2"/>
  <c r="L4" s="1"/>
  <c r="K2"/>
  <c r="K4" s="1"/>
  <c r="G2"/>
  <c r="F2"/>
  <c r="F3" s="1"/>
  <c r="E2"/>
  <c r="E8" s="1"/>
  <c r="AH5" l="1"/>
  <c r="H31"/>
  <c r="AD3"/>
  <c r="AH3"/>
  <c r="J18"/>
  <c r="AH14" s="1"/>
  <c r="AC3"/>
  <c r="W61"/>
  <c r="P18"/>
  <c r="AC4"/>
  <c r="N2"/>
  <c r="N8" s="1"/>
  <c r="M31"/>
  <c r="AJ31" s="1"/>
  <c r="M4"/>
  <c r="AJ4" s="1"/>
  <c r="L31"/>
  <c r="AD4"/>
  <c r="D35"/>
  <c r="Z61"/>
  <c r="J35"/>
  <c r="G31"/>
  <c r="G32" s="1"/>
  <c r="G36" s="1"/>
  <c r="E31"/>
  <c r="AH31"/>
  <c r="D31"/>
  <c r="P31"/>
  <c r="B21"/>
  <c r="G3"/>
  <c r="L5"/>
  <c r="I5" s="1"/>
  <c r="AD5"/>
  <c r="M16"/>
  <c r="O16" s="1"/>
  <c r="G35"/>
  <c r="O35"/>
  <c r="O31"/>
  <c r="E4"/>
  <c r="J6"/>
  <c r="AH6" s="1"/>
  <c r="D16"/>
  <c r="E3"/>
  <c r="N18"/>
  <c r="K8"/>
  <c r="G16"/>
  <c r="I16" s="1"/>
  <c r="N3"/>
  <c r="AJ2"/>
  <c r="M3"/>
  <c r="AJ3" s="1"/>
  <c r="R4"/>
  <c r="K5"/>
  <c r="O11"/>
  <c r="M18"/>
  <c r="AJ14" s="1"/>
  <c r="L16"/>
  <c r="AH16"/>
  <c r="D20"/>
  <c r="L20"/>
  <c r="I31"/>
  <c r="Q31"/>
  <c r="P35"/>
  <c r="L3"/>
  <c r="G8"/>
  <c r="F11"/>
  <c r="N11"/>
  <c r="L14"/>
  <c r="L18" s="1"/>
  <c r="K20"/>
  <c r="K3"/>
  <c r="F8"/>
  <c r="E11"/>
  <c r="M11"/>
  <c r="K14"/>
  <c r="K18" s="1"/>
  <c r="R16"/>
  <c r="J20"/>
  <c r="R20"/>
  <c r="Q4"/>
  <c r="I2"/>
  <c r="R3"/>
  <c r="G4"/>
  <c r="P5"/>
  <c r="AI5" s="1"/>
  <c r="M8"/>
  <c r="D11"/>
  <c r="L11"/>
  <c r="I14"/>
  <c r="I18" s="1"/>
  <c r="Q16"/>
  <c r="I20"/>
  <c r="Q20"/>
  <c r="F31"/>
  <c r="N31"/>
  <c r="H2"/>
  <c r="Q3"/>
  <c r="F4"/>
  <c r="G5"/>
  <c r="L8"/>
  <c r="K11"/>
  <c r="H14"/>
  <c r="H18" s="1"/>
  <c r="R14"/>
  <c r="R18" s="1"/>
  <c r="H20"/>
  <c r="P20"/>
  <c r="R11"/>
  <c r="R32" s="1"/>
  <c r="R36" s="1"/>
  <c r="G14"/>
  <c r="G18" s="1"/>
  <c r="G20"/>
  <c r="O20"/>
  <c r="Q14"/>
  <c r="Q18" s="1"/>
  <c r="O2"/>
  <c r="M5"/>
  <c r="AJ5" s="1"/>
  <c r="I11"/>
  <c r="Q11"/>
  <c r="Q32" s="1"/>
  <c r="Q36" s="1"/>
  <c r="F14"/>
  <c r="F18" s="1"/>
  <c r="O14"/>
  <c r="O18" s="1"/>
  <c r="F20"/>
  <c r="N20"/>
  <c r="K31"/>
  <c r="AI31" s="1"/>
  <c r="D5"/>
  <c r="AG5" s="1"/>
  <c r="H11"/>
  <c r="P11"/>
  <c r="P32" s="1"/>
  <c r="P36" s="1"/>
  <c r="E14"/>
  <c r="E18" s="1"/>
  <c r="E20"/>
  <c r="M20"/>
  <c r="E103" i="8"/>
  <c r="F103"/>
  <c r="G103"/>
  <c r="H103"/>
  <c r="I103"/>
  <c r="J103"/>
  <c r="K103"/>
  <c r="L103"/>
  <c r="E104"/>
  <c r="F104"/>
  <c r="G104"/>
  <c r="H104"/>
  <c r="I104"/>
  <c r="J104"/>
  <c r="K104"/>
  <c r="L104"/>
  <c r="E105"/>
  <c r="F105"/>
  <c r="G105"/>
  <c r="H105"/>
  <c r="I105"/>
  <c r="J105"/>
  <c r="K105"/>
  <c r="L105"/>
  <c r="E106"/>
  <c r="F106"/>
  <c r="G106"/>
  <c r="H106"/>
  <c r="I106"/>
  <c r="J106"/>
  <c r="K106"/>
  <c r="L106"/>
  <c r="E107"/>
  <c r="F107"/>
  <c r="G107"/>
  <c r="H107"/>
  <c r="I107"/>
  <c r="J107"/>
  <c r="K107"/>
  <c r="L107"/>
  <c r="E108"/>
  <c r="F108"/>
  <c r="G108"/>
  <c r="H108"/>
  <c r="I108"/>
  <c r="J108"/>
  <c r="K108"/>
  <c r="L108"/>
  <c r="E109"/>
  <c r="F109"/>
  <c r="G109"/>
  <c r="H109"/>
  <c r="I109"/>
  <c r="J109"/>
  <c r="K109"/>
  <c r="L109"/>
  <c r="E110"/>
  <c r="F110"/>
  <c r="G110"/>
  <c r="H110"/>
  <c r="I110"/>
  <c r="J110"/>
  <c r="K110"/>
  <c r="L110"/>
  <c r="E101"/>
  <c r="F101"/>
  <c r="G101"/>
  <c r="H101"/>
  <c r="I101"/>
  <c r="J101"/>
  <c r="K101"/>
  <c r="L101"/>
  <c r="M101"/>
  <c r="N101"/>
  <c r="O101"/>
  <c r="P101"/>
  <c r="Q101"/>
  <c r="E102"/>
  <c r="F102"/>
  <c r="G102"/>
  <c r="H102"/>
  <c r="I102"/>
  <c r="J102"/>
  <c r="K102"/>
  <c r="L102"/>
  <c r="M102"/>
  <c r="N102"/>
  <c r="O102"/>
  <c r="P102"/>
  <c r="Q102"/>
  <c r="F100"/>
  <c r="G100"/>
  <c r="H100"/>
  <c r="I100"/>
  <c r="J100"/>
  <c r="K100"/>
  <c r="L100"/>
  <c r="M100"/>
  <c r="N100"/>
  <c r="O100"/>
  <c r="P100"/>
  <c r="Q100"/>
  <c r="E100"/>
  <c r="F111"/>
  <c r="G111"/>
  <c r="H111"/>
  <c r="I111"/>
  <c r="J111"/>
  <c r="K111"/>
  <c r="L111"/>
  <c r="E111"/>
  <c r="P8"/>
  <c r="J8"/>
  <c r="D8"/>
  <c r="AJ16" i="16" l="1"/>
  <c r="N16"/>
  <c r="N17" s="1"/>
  <c r="N15" s="1"/>
  <c r="W34"/>
  <c r="U34"/>
  <c r="V34"/>
  <c r="X34"/>
  <c r="Y34"/>
  <c r="AI20"/>
  <c r="P17"/>
  <c r="P15" s="1"/>
  <c r="AI15" s="1"/>
  <c r="AI14"/>
  <c r="O5"/>
  <c r="J17"/>
  <c r="J15" s="1"/>
  <c r="AH15" s="1"/>
  <c r="N4"/>
  <c r="W62"/>
  <c r="F5"/>
  <c r="F6" s="1"/>
  <c r="R5"/>
  <c r="R6" s="1"/>
  <c r="AH34"/>
  <c r="L32"/>
  <c r="L36" s="1"/>
  <c r="AH20"/>
  <c r="R17"/>
  <c r="R15" s="1"/>
  <c r="AG31"/>
  <c r="F16"/>
  <c r="F17" s="1"/>
  <c r="F15" s="1"/>
  <c r="F32"/>
  <c r="F36" s="1"/>
  <c r="D32"/>
  <c r="D36" s="1"/>
  <c r="H16"/>
  <c r="N32"/>
  <c r="N36" s="1"/>
  <c r="D6"/>
  <c r="AG6" s="1"/>
  <c r="AC5"/>
  <c r="Z62"/>
  <c r="AJ34"/>
  <c r="AD6"/>
  <c r="I32"/>
  <c r="I36" s="1"/>
  <c r="G17"/>
  <c r="AG20"/>
  <c r="AI34"/>
  <c r="G6"/>
  <c r="E16"/>
  <c r="E17" s="1"/>
  <c r="E15" s="1"/>
  <c r="AG16"/>
  <c r="D17"/>
  <c r="H12"/>
  <c r="M6"/>
  <c r="AJ6" s="1"/>
  <c r="P12"/>
  <c r="AI11"/>
  <c r="Q12"/>
  <c r="K12"/>
  <c r="AG11"/>
  <c r="D12"/>
  <c r="I12"/>
  <c r="K6"/>
  <c r="N5"/>
  <c r="E5"/>
  <c r="E6" s="1"/>
  <c r="H5"/>
  <c r="Q5"/>
  <c r="Q6" s="1"/>
  <c r="J32"/>
  <c r="J36" s="1"/>
  <c r="AH11"/>
  <c r="J12"/>
  <c r="H32"/>
  <c r="H36" s="1"/>
  <c r="K32"/>
  <c r="K36" s="1"/>
  <c r="H4"/>
  <c r="H8"/>
  <c r="H3"/>
  <c r="L12"/>
  <c r="E12"/>
  <c r="G12"/>
  <c r="Q17"/>
  <c r="Q15" s="1"/>
  <c r="E32"/>
  <c r="E36" s="1"/>
  <c r="AJ20"/>
  <c r="F12"/>
  <c r="R12"/>
  <c r="L6"/>
  <c r="O3"/>
  <c r="O4"/>
  <c r="O8"/>
  <c r="M12"/>
  <c r="AJ11"/>
  <c r="O12"/>
  <c r="I8"/>
  <c r="I3"/>
  <c r="I4"/>
  <c r="N12"/>
  <c r="M32"/>
  <c r="M36" s="1"/>
  <c r="O32"/>
  <c r="O36" s="1"/>
  <c r="K17"/>
  <c r="K15" s="1"/>
  <c r="K22" s="1"/>
  <c r="M17"/>
  <c r="L17"/>
  <c r="L15" s="1"/>
  <c r="L22" s="1"/>
  <c r="P6"/>
  <c r="AI6" s="1"/>
  <c r="J36" i="12"/>
  <c r="C36"/>
  <c r="F22" i="16" l="1"/>
  <c r="F23" s="1"/>
  <c r="L23"/>
  <c r="L24" s="1"/>
  <c r="W35"/>
  <c r="W36"/>
  <c r="W38" s="1"/>
  <c r="AH17"/>
  <c r="U35"/>
  <c r="AG35" s="1"/>
  <c r="U36"/>
  <c r="U38" s="1"/>
  <c r="AG34"/>
  <c r="V35"/>
  <c r="AH35" s="1"/>
  <c r="V36"/>
  <c r="V38" s="1"/>
  <c r="X35"/>
  <c r="X36"/>
  <c r="X38" s="1"/>
  <c r="Y35"/>
  <c r="Y36"/>
  <c r="Y38" s="1"/>
  <c r="Y39" s="1"/>
  <c r="R22"/>
  <c r="R23" s="1"/>
  <c r="R21" s="1"/>
  <c r="P22"/>
  <c r="P23" s="1"/>
  <c r="P24" s="1"/>
  <c r="AI17"/>
  <c r="J22"/>
  <c r="J23" s="1"/>
  <c r="AI35"/>
  <c r="AJ35"/>
  <c r="AC6"/>
  <c r="O17"/>
  <c r="I17"/>
  <c r="I15" s="1"/>
  <c r="I22" s="1"/>
  <c r="I23" s="1"/>
  <c r="I24" s="1"/>
  <c r="I26" s="1"/>
  <c r="G15"/>
  <c r="AG17"/>
  <c r="D15"/>
  <c r="Q22"/>
  <c r="Q23" s="1"/>
  <c r="Q24" s="1"/>
  <c r="AH36"/>
  <c r="H17"/>
  <c r="H15" s="1"/>
  <c r="H22" s="1"/>
  <c r="H23" s="1"/>
  <c r="K23"/>
  <c r="K24" s="1"/>
  <c r="N22"/>
  <c r="N23" s="1"/>
  <c r="O94"/>
  <c r="O96" s="1"/>
  <c r="O95"/>
  <c r="O97" s="1"/>
  <c r="O6"/>
  <c r="F94"/>
  <c r="F96" s="1"/>
  <c r="F95"/>
  <c r="F97" s="1"/>
  <c r="L94"/>
  <c r="L96" s="1"/>
  <c r="L95"/>
  <c r="L97" s="1"/>
  <c r="Q95"/>
  <c r="Q97" s="1"/>
  <c r="Q94"/>
  <c r="Q96" s="1"/>
  <c r="E22"/>
  <c r="E23" s="1"/>
  <c r="N95"/>
  <c r="N97" s="1"/>
  <c r="N94"/>
  <c r="N96" s="1"/>
  <c r="E95"/>
  <c r="E97" s="1"/>
  <c r="E94"/>
  <c r="E96" s="1"/>
  <c r="N6"/>
  <c r="G94"/>
  <c r="G96" s="1"/>
  <c r="G95"/>
  <c r="G97" s="1"/>
  <c r="D95"/>
  <c r="D97" s="1"/>
  <c r="D94"/>
  <c r="D96" s="1"/>
  <c r="R95"/>
  <c r="R97" s="1"/>
  <c r="R94"/>
  <c r="R96" s="1"/>
  <c r="I95"/>
  <c r="I97" s="1"/>
  <c r="I94"/>
  <c r="I96" s="1"/>
  <c r="M15"/>
  <c r="AJ17"/>
  <c r="I6"/>
  <c r="M95"/>
  <c r="M97" s="1"/>
  <c r="M94"/>
  <c r="M96" s="1"/>
  <c r="K95"/>
  <c r="K97" s="1"/>
  <c r="K94"/>
  <c r="K96" s="1"/>
  <c r="P94"/>
  <c r="P96" s="1"/>
  <c r="P95"/>
  <c r="P97" s="1"/>
  <c r="H6"/>
  <c r="J95"/>
  <c r="J97" s="1"/>
  <c r="J94"/>
  <c r="J96" s="1"/>
  <c r="H94"/>
  <c r="H96" s="1"/>
  <c r="H95"/>
  <c r="H97" s="1"/>
  <c r="O34" i="8"/>
  <c r="N34"/>
  <c r="M34"/>
  <c r="L34"/>
  <c r="K34"/>
  <c r="J34"/>
  <c r="R34"/>
  <c r="Q34"/>
  <c r="P34"/>
  <c r="I34"/>
  <c r="H34"/>
  <c r="G34"/>
  <c r="G35" s="1"/>
  <c r="E39" i="12" s="1"/>
  <c r="E40" s="1"/>
  <c r="D34" i="8"/>
  <c r="H27" i="9"/>
  <c r="G27"/>
  <c r="AK2" i="8"/>
  <c r="AJ2"/>
  <c r="L21" i="16" l="1"/>
  <c r="AI36"/>
  <c r="AG36"/>
  <c r="R24"/>
  <c r="R25" s="1"/>
  <c r="R28" s="1"/>
  <c r="AJ36"/>
  <c r="J35" i="8"/>
  <c r="AC34" i="16"/>
  <c r="M35" i="8"/>
  <c r="AE34" i="16"/>
  <c r="P35" i="8"/>
  <c r="AD34" i="16"/>
  <c r="D35" i="8"/>
  <c r="AB34" i="16"/>
  <c r="O15"/>
  <c r="J24"/>
  <c r="G22"/>
  <c r="G23" s="1"/>
  <c r="G24" s="1"/>
  <c r="I21"/>
  <c r="J21"/>
  <c r="AH23"/>
  <c r="AG15"/>
  <c r="D22"/>
  <c r="D23" s="1"/>
  <c r="K21"/>
  <c r="Q21"/>
  <c r="P21"/>
  <c r="AI23"/>
  <c r="E21"/>
  <c r="E24"/>
  <c r="F21"/>
  <c r="F24"/>
  <c r="K26"/>
  <c r="K25"/>
  <c r="K28" s="1"/>
  <c r="Q26"/>
  <c r="Q25"/>
  <c r="Q28" s="1"/>
  <c r="I25"/>
  <c r="I28" s="1"/>
  <c r="L26"/>
  <c r="L25"/>
  <c r="L28" s="1"/>
  <c r="N21"/>
  <c r="N24"/>
  <c r="M22"/>
  <c r="M23" s="1"/>
  <c r="AJ15"/>
  <c r="H21"/>
  <c r="H24"/>
  <c r="P26"/>
  <c r="AI24"/>
  <c r="P25"/>
  <c r="U32" i="8"/>
  <c r="BR61"/>
  <c r="R29" i="16" l="1"/>
  <c r="R26"/>
  <c r="Q29"/>
  <c r="C39" i="12"/>
  <c r="C40" s="1"/>
  <c r="AC35" i="16"/>
  <c r="J39" i="12"/>
  <c r="J40" s="1"/>
  <c r="AD35" i="16"/>
  <c r="F39" i="12"/>
  <c r="F40" s="1"/>
  <c r="AB35" i="16"/>
  <c r="H39" i="12"/>
  <c r="H40" s="1"/>
  <c r="AE35" i="16"/>
  <c r="O22"/>
  <c r="O23" s="1"/>
  <c r="O24" s="1"/>
  <c r="O25" s="1"/>
  <c r="AH24"/>
  <c r="J26"/>
  <c r="J25"/>
  <c r="G25"/>
  <c r="G21"/>
  <c r="G26"/>
  <c r="D24"/>
  <c r="AG23"/>
  <c r="D21"/>
  <c r="AI25"/>
  <c r="AI26" s="1"/>
  <c r="P28"/>
  <c r="I38"/>
  <c r="E26"/>
  <c r="E25"/>
  <c r="E28" s="1"/>
  <c r="R38"/>
  <c r="F26"/>
  <c r="F25"/>
  <c r="F28" s="1"/>
  <c r="M21"/>
  <c r="AJ23"/>
  <c r="M24"/>
  <c r="L38"/>
  <c r="H26"/>
  <c r="H25"/>
  <c r="H28" s="1"/>
  <c r="Q38"/>
  <c r="K38"/>
  <c r="N26"/>
  <c r="N25"/>
  <c r="N28" s="1"/>
  <c r="E21" i="12"/>
  <c r="J40" i="16" l="1"/>
  <c r="O26"/>
  <c r="O21"/>
  <c r="AH25"/>
  <c r="AH26" s="1"/>
  <c r="J28"/>
  <c r="P29" s="1"/>
  <c r="O28"/>
  <c r="G28"/>
  <c r="R39"/>
  <c r="D25"/>
  <c r="AG24"/>
  <c r="D26"/>
  <c r="N38"/>
  <c r="Q39"/>
  <c r="P40"/>
  <c r="M26"/>
  <c r="AJ24"/>
  <c r="M25"/>
  <c r="H38"/>
  <c r="G40" s="1"/>
  <c r="E38"/>
  <c r="AI28"/>
  <c r="P38"/>
  <c r="F38"/>
  <c r="D22" i="12"/>
  <c r="C22"/>
  <c r="K27"/>
  <c r="K28"/>
  <c r="K29"/>
  <c r="K30"/>
  <c r="K34"/>
  <c r="K35" s="1"/>
  <c r="K36"/>
  <c r="K38"/>
  <c r="I27"/>
  <c r="I28"/>
  <c r="I29"/>
  <c r="I30"/>
  <c r="I34"/>
  <c r="I35" s="1"/>
  <c r="I36"/>
  <c r="I38"/>
  <c r="G38"/>
  <c r="G36"/>
  <c r="G34"/>
  <c r="G35" s="1"/>
  <c r="G30"/>
  <c r="G29"/>
  <c r="G28"/>
  <c r="G27"/>
  <c r="D38"/>
  <c r="D36"/>
  <c r="D34"/>
  <c r="D35" s="1"/>
  <c r="D30"/>
  <c r="D29"/>
  <c r="D28"/>
  <c r="D27"/>
  <c r="J28"/>
  <c r="C28"/>
  <c r="C27"/>
  <c r="J38" i="16" l="1"/>
  <c r="P39" s="1"/>
  <c r="AH28"/>
  <c r="AI29" s="1"/>
  <c r="G38"/>
  <c r="O38"/>
  <c r="D28"/>
  <c r="AG25"/>
  <c r="AG26" s="1"/>
  <c r="AJ25"/>
  <c r="AJ26" s="1"/>
  <c r="M28"/>
  <c r="AI38"/>
  <c r="D40"/>
  <c r="D54" i="12"/>
  <c r="I54"/>
  <c r="K54"/>
  <c r="G54"/>
  <c r="AH38" i="16" l="1"/>
  <c r="AI39" s="1"/>
  <c r="M40"/>
  <c r="D38"/>
  <c r="AG28"/>
  <c r="M38"/>
  <c r="AJ38" s="1"/>
  <c r="AJ28"/>
  <c r="BC4" i="8"/>
  <c r="BA4"/>
  <c r="G17" i="9"/>
  <c r="AT70" i="8"/>
  <c r="AT71"/>
  <c r="AU72"/>
  <c r="AU67"/>
  <c r="AT72"/>
  <c r="AT67"/>
  <c r="AG38" i="16" l="1"/>
  <c r="M2" i="8"/>
  <c r="G2"/>
  <c r="T25" i="4"/>
  <c r="S16"/>
  <c r="T16" s="1"/>
  <c r="S17"/>
  <c r="T17" s="1"/>
  <c r="S18"/>
  <c r="T18" s="1"/>
  <c r="S19"/>
  <c r="T19" s="1"/>
  <c r="S20"/>
  <c r="T20" s="1"/>
  <c r="S21"/>
  <c r="S22"/>
  <c r="T22" s="1"/>
  <c r="S23"/>
  <c r="T23" s="1"/>
  <c r="S24"/>
  <c r="S25"/>
  <c r="S26"/>
  <c r="T26" s="1"/>
  <c r="S15"/>
  <c r="T15" s="1"/>
  <c r="M8" i="8" l="1"/>
  <c r="AL2"/>
  <c r="AE2" i="16"/>
  <c r="E28" i="12"/>
  <c r="G8" i="8"/>
  <c r="H28" i="12"/>
  <c r="CK6" i="8"/>
  <c r="S24" l="1"/>
  <c r="S10"/>
  <c r="J11" s="1"/>
  <c r="AC11" i="16" s="1"/>
  <c r="AI10" i="8"/>
  <c r="K14" l="1"/>
  <c r="L14"/>
  <c r="H36" i="12"/>
  <c r="N14" i="8"/>
  <c r="R14"/>
  <c r="O14"/>
  <c r="E14"/>
  <c r="Q14"/>
  <c r="F36" i="12"/>
  <c r="H14" i="8"/>
  <c r="G14"/>
  <c r="E36" i="12" s="1"/>
  <c r="I14" i="8"/>
  <c r="O11"/>
  <c r="C34" i="12"/>
  <c r="K11" i="8"/>
  <c r="L11"/>
  <c r="L12" s="1"/>
  <c r="P11"/>
  <c r="Q11"/>
  <c r="R11"/>
  <c r="R12" s="1"/>
  <c r="M11"/>
  <c r="D11"/>
  <c r="N11"/>
  <c r="N12" s="1"/>
  <c r="G11"/>
  <c r="E34" i="12" s="1"/>
  <c r="E35" s="1"/>
  <c r="F14" i="8"/>
  <c r="H11"/>
  <c r="I11"/>
  <c r="I12" s="1"/>
  <c r="E11"/>
  <c r="F11"/>
  <c r="BT55"/>
  <c r="BT57"/>
  <c r="BT56"/>
  <c r="BS56" s="1"/>
  <c r="CH61" s="1"/>
  <c r="BT64"/>
  <c r="BS64" s="1"/>
  <c r="CH67" s="1"/>
  <c r="BR69"/>
  <c r="CK3" s="1"/>
  <c r="BB56"/>
  <c r="BD56"/>
  <c r="BC56" s="1"/>
  <c r="BS58"/>
  <c r="BC60"/>
  <c r="CI62" s="1"/>
  <c r="BT67"/>
  <c r="BS67" s="1"/>
  <c r="CH65" s="1"/>
  <c r="BT65"/>
  <c r="BR65"/>
  <c r="BD69"/>
  <c r="BC69" s="1"/>
  <c r="CI58" s="1"/>
  <c r="BB69"/>
  <c r="BT61"/>
  <c r="BS61" s="1"/>
  <c r="CH64" s="1"/>
  <c r="BD61"/>
  <c r="BC61" s="1"/>
  <c r="BB61"/>
  <c r="BT60"/>
  <c r="BS60" s="1"/>
  <c r="CH59" s="1"/>
  <c r="BR60"/>
  <c r="BD63"/>
  <c r="BC63" s="1"/>
  <c r="CI59" s="1"/>
  <c r="BB63"/>
  <c r="BT66"/>
  <c r="BS66" s="1"/>
  <c r="CH55" s="1"/>
  <c r="BR66"/>
  <c r="BD72"/>
  <c r="BC72" s="1"/>
  <c r="BB72"/>
  <c r="BB58"/>
  <c r="BT68"/>
  <c r="BR56"/>
  <c r="BD57"/>
  <c r="BC57" s="1"/>
  <c r="CI61" s="1"/>
  <c r="BB57"/>
  <c r="BR68"/>
  <c r="BD66"/>
  <c r="BC66" s="1"/>
  <c r="CI68" s="1"/>
  <c r="BB66"/>
  <c r="BD67"/>
  <c r="BC67" s="1"/>
  <c r="BB67"/>
  <c r="BT69"/>
  <c r="BS69" s="1"/>
  <c r="BD68"/>
  <c r="BC68" s="1"/>
  <c r="CI69" s="1"/>
  <c r="BB68"/>
  <c r="CI3" s="1"/>
  <c r="BR67"/>
  <c r="BR63"/>
  <c r="BR62"/>
  <c r="BR58"/>
  <c r="BR64"/>
  <c r="BD64"/>
  <c r="BC64" s="1"/>
  <c r="CI67" s="1"/>
  <c r="BB64"/>
  <c r="BB60"/>
  <c r="BB70"/>
  <c r="BD70"/>
  <c r="BC70" s="1"/>
  <c r="CI56" s="1"/>
  <c r="BR55"/>
  <c r="BD55"/>
  <c r="BB55"/>
  <c r="BB65"/>
  <c r="BD71"/>
  <c r="BC71" s="1"/>
  <c r="CI65" s="1"/>
  <c r="BB71"/>
  <c r="BR57"/>
  <c r="BD59"/>
  <c r="BC59" s="1"/>
  <c r="CI57" s="1"/>
  <c r="BB59"/>
  <c r="BU62"/>
  <c r="BS62" s="1"/>
  <c r="CH56" s="1"/>
  <c r="AR17"/>
  <c r="BD58" s="1"/>
  <c r="BC58" s="1"/>
  <c r="C54" i="12" l="1"/>
  <c r="C35"/>
  <c r="P35" s="1"/>
  <c r="J34"/>
  <c r="J35" s="1"/>
  <c r="Q35" s="1"/>
  <c r="AD11" i="16"/>
  <c r="H34" i="12"/>
  <c r="H35" s="1"/>
  <c r="AE11" i="16"/>
  <c r="F34" i="12"/>
  <c r="F35" s="1"/>
  <c r="AB11" i="16"/>
  <c r="H12" i="8"/>
  <c r="K12"/>
  <c r="O12"/>
  <c r="Q12"/>
  <c r="CI55"/>
  <c r="CJ55" s="1"/>
  <c r="CH69"/>
  <c r="CJ69" s="1"/>
  <c r="BS57"/>
  <c r="CJ56"/>
  <c r="CJ67"/>
  <c r="BS68"/>
  <c r="CH68" s="1"/>
  <c r="CJ68" s="1"/>
  <c r="CJ59"/>
  <c r="BS65"/>
  <c r="CJ62"/>
  <c r="CJ65"/>
  <c r="BS55"/>
  <c r="CJ64"/>
  <c r="BC55"/>
  <c r="CI66" l="1"/>
  <c r="AR67"/>
  <c r="CH66"/>
  <c r="AS67"/>
  <c r="CH57"/>
  <c r="CJ57" s="1"/>
  <c r="CH58"/>
  <c r="CJ58" s="1"/>
  <c r="CJ61"/>
  <c r="H35"/>
  <c r="R35"/>
  <c r="Q35"/>
  <c r="O35"/>
  <c r="N35"/>
  <c r="L35"/>
  <c r="K35"/>
  <c r="I35"/>
  <c r="F34"/>
  <c r="F35" s="1"/>
  <c r="E34"/>
  <c r="E35" s="1"/>
  <c r="P16"/>
  <c r="AD16" i="16" s="1"/>
  <c r="J16" i="8"/>
  <c r="AC16" i="16" s="1"/>
  <c r="AB32" i="8"/>
  <c r="J31"/>
  <c r="C32" i="12" s="1"/>
  <c r="P32" s="1"/>
  <c r="R7" i="8"/>
  <c r="Q7"/>
  <c r="P7"/>
  <c r="J27" i="12" s="1"/>
  <c r="J54" s="1"/>
  <c r="O7" i="8"/>
  <c r="N7"/>
  <c r="M7"/>
  <c r="H27" i="12" s="1"/>
  <c r="H54" s="1"/>
  <c r="F7" i="8"/>
  <c r="E7"/>
  <c r="D7"/>
  <c r="F27" i="12" s="1"/>
  <c r="F54" s="1"/>
  <c r="G7" i="8"/>
  <c r="E27" i="12" s="1"/>
  <c r="E54" s="1"/>
  <c r="P3" i="8"/>
  <c r="J3"/>
  <c r="G4"/>
  <c r="E31" i="12" s="1"/>
  <c r="N2" i="8"/>
  <c r="N8" s="1"/>
  <c r="I7"/>
  <c r="H7"/>
  <c r="L7"/>
  <c r="K7"/>
  <c r="J5"/>
  <c r="J4"/>
  <c r="AJ4" s="1"/>
  <c r="P4"/>
  <c r="AK4" s="1"/>
  <c r="S20"/>
  <c r="L2"/>
  <c r="L8" s="1"/>
  <c r="K2"/>
  <c r="K8" s="1"/>
  <c r="R2"/>
  <c r="R8" s="1"/>
  <c r="Q2"/>
  <c r="Q8" s="1"/>
  <c r="AC31" i="16" l="1"/>
  <c r="B21" i="8"/>
  <c r="P20"/>
  <c r="AD20" i="16" s="1"/>
  <c r="J20" i="8"/>
  <c r="AC20" i="16" s="1"/>
  <c r="D20" i="8"/>
  <c r="AB20" i="16" s="1"/>
  <c r="R4" i="8"/>
  <c r="N3"/>
  <c r="Q3"/>
  <c r="L3"/>
  <c r="K3"/>
  <c r="J29" i="12"/>
  <c r="C30"/>
  <c r="P30" s="1"/>
  <c r="C29"/>
  <c r="P29" s="1"/>
  <c r="C55" s="1"/>
  <c r="C31"/>
  <c r="P31" s="1"/>
  <c r="E2" i="8"/>
  <c r="E8" s="1"/>
  <c r="F28" i="12"/>
  <c r="J38"/>
  <c r="J31"/>
  <c r="C38"/>
  <c r="P38" s="1"/>
  <c r="Q38" s="1"/>
  <c r="CJ66" i="8"/>
  <c r="H31"/>
  <c r="D5"/>
  <c r="R16"/>
  <c r="AK16"/>
  <c r="L16"/>
  <c r="AJ16"/>
  <c r="G5"/>
  <c r="E30" i="12" s="1"/>
  <c r="K16" i="8"/>
  <c r="Q16"/>
  <c r="D3"/>
  <c r="M16"/>
  <c r="AE16" i="16" s="1"/>
  <c r="D16" i="8"/>
  <c r="AB16" i="16" s="1"/>
  <c r="L5" i="8"/>
  <c r="I5" s="1"/>
  <c r="P5"/>
  <c r="M5"/>
  <c r="G16"/>
  <c r="E38" i="12" s="1"/>
  <c r="D31" i="8"/>
  <c r="F32" i="12" s="1"/>
  <c r="G31" i="8"/>
  <c r="E32" i="12" s="1"/>
  <c r="M3" i="8"/>
  <c r="K5"/>
  <c r="F31"/>
  <c r="R3"/>
  <c r="E31"/>
  <c r="G3"/>
  <c r="E29" i="12" s="1"/>
  <c r="I31" i="8"/>
  <c r="E3"/>
  <c r="F2"/>
  <c r="F8" s="1"/>
  <c r="D4"/>
  <c r="I2"/>
  <c r="I8" s="1"/>
  <c r="H2"/>
  <c r="H8" s="1"/>
  <c r="M4"/>
  <c r="O2"/>
  <c r="O8" s="1"/>
  <c r="L4"/>
  <c r="K4"/>
  <c r="Q4"/>
  <c r="N4"/>
  <c r="AB31" i="16" l="1"/>
  <c r="AI31" i="8"/>
  <c r="F29" i="12"/>
  <c r="AI3" i="8"/>
  <c r="AB3" i="16"/>
  <c r="F30" i="12"/>
  <c r="AI5" i="8"/>
  <c r="AB5" i="16"/>
  <c r="H29" i="12"/>
  <c r="F31"/>
  <c r="AI4" i="8"/>
  <c r="AB4" i="16"/>
  <c r="H31" i="12"/>
  <c r="AL4" i="8"/>
  <c r="H30" i="12"/>
  <c r="O3" i="8"/>
  <c r="I3"/>
  <c r="E4"/>
  <c r="F55" i="12"/>
  <c r="H55"/>
  <c r="E55"/>
  <c r="J55"/>
  <c r="H38"/>
  <c r="AI16" i="8"/>
  <c r="F38" i="12"/>
  <c r="J30"/>
  <c r="H32" i="8"/>
  <c r="P6"/>
  <c r="N16"/>
  <c r="AL16"/>
  <c r="F32"/>
  <c r="O16"/>
  <c r="R5"/>
  <c r="R6" s="1"/>
  <c r="E32"/>
  <c r="H16"/>
  <c r="I16"/>
  <c r="F16"/>
  <c r="E16"/>
  <c r="O5"/>
  <c r="F5"/>
  <c r="I32"/>
  <c r="H5"/>
  <c r="Q5"/>
  <c r="Q6" s="1"/>
  <c r="E5"/>
  <c r="N5"/>
  <c r="F4"/>
  <c r="F3"/>
  <c r="H4"/>
  <c r="H3"/>
  <c r="I4"/>
  <c r="O4"/>
  <c r="C72"/>
  <c r="C70"/>
  <c r="C69"/>
  <c r="C68"/>
  <c r="C66"/>
  <c r="M18" l="1"/>
  <c r="N18"/>
  <c r="N17" s="1"/>
  <c r="J18"/>
  <c r="F18"/>
  <c r="F17" s="1"/>
  <c r="E18"/>
  <c r="O18"/>
  <c r="O17" s="1"/>
  <c r="G18"/>
  <c r="G17" s="1"/>
  <c r="I18"/>
  <c r="I17" s="1"/>
  <c r="K18"/>
  <c r="K17" s="1"/>
  <c r="P18"/>
  <c r="H18"/>
  <c r="H17" s="1"/>
  <c r="Q18"/>
  <c r="Q17" s="1"/>
  <c r="D18"/>
  <c r="R18"/>
  <c r="R17" s="1"/>
  <c r="L18"/>
  <c r="L17" s="1"/>
  <c r="U17"/>
  <c r="G46" i="12" s="1"/>
  <c r="G37" s="1"/>
  <c r="E12" i="8"/>
  <c r="F12"/>
  <c r="M17" l="1"/>
  <c r="AE17" i="16" s="1"/>
  <c r="AE14"/>
  <c r="AL14" i="8"/>
  <c r="P17"/>
  <c r="AD17" i="16" s="1"/>
  <c r="AD14"/>
  <c r="AK14" i="8"/>
  <c r="J17"/>
  <c r="AC17" i="16" s="1"/>
  <c r="AC14"/>
  <c r="AJ14" i="8"/>
  <c r="AB14" i="16"/>
  <c r="AI14" i="8"/>
  <c r="D17"/>
  <c r="E17"/>
  <c r="E15" s="1"/>
  <c r="E22" s="1"/>
  <c r="E46" i="12"/>
  <c r="E37" s="1"/>
  <c r="H94" i="8"/>
  <c r="H95"/>
  <c r="K95"/>
  <c r="K94"/>
  <c r="I95"/>
  <c r="I94"/>
  <c r="R95"/>
  <c r="R94"/>
  <c r="Q95"/>
  <c r="Q94"/>
  <c r="F94"/>
  <c r="F95"/>
  <c r="O95"/>
  <c r="O94"/>
  <c r="N95"/>
  <c r="N94"/>
  <c r="E94"/>
  <c r="E95"/>
  <c r="L94"/>
  <c r="L95"/>
  <c r="G32"/>
  <c r="D15" l="1"/>
  <c r="AB17" i="16"/>
  <c r="H46" i="12"/>
  <c r="H37" s="1"/>
  <c r="J46"/>
  <c r="J37" s="1"/>
  <c r="C46"/>
  <c r="C37" s="1"/>
  <c r="I97" i="8"/>
  <c r="I96"/>
  <c r="H96"/>
  <c r="H97"/>
  <c r="L96"/>
  <c r="K97"/>
  <c r="L97"/>
  <c r="K96"/>
  <c r="N97"/>
  <c r="N96"/>
  <c r="O96"/>
  <c r="O97"/>
  <c r="AL11"/>
  <c r="R96"/>
  <c r="R97"/>
  <c r="AK11"/>
  <c r="Q34" i="12" s="1"/>
  <c r="Q96" i="8"/>
  <c r="Q97"/>
  <c r="F96"/>
  <c r="F97"/>
  <c r="AI11"/>
  <c r="E96"/>
  <c r="E97"/>
  <c r="Q20"/>
  <c r="L20"/>
  <c r="O20"/>
  <c r="E20"/>
  <c r="E23" s="1"/>
  <c r="E24" s="1"/>
  <c r="H20"/>
  <c r="F20"/>
  <c r="K20"/>
  <c r="I20"/>
  <c r="N20"/>
  <c r="R20"/>
  <c r="J32"/>
  <c r="AJ11"/>
  <c r="P34" i="12" s="1"/>
  <c r="D32" i="8"/>
  <c r="G12"/>
  <c r="J12"/>
  <c r="P12"/>
  <c r="D12"/>
  <c r="M12"/>
  <c r="E6"/>
  <c r="F6"/>
  <c r="D6"/>
  <c r="L15"/>
  <c r="L22" s="1"/>
  <c r="K15"/>
  <c r="K22" s="1"/>
  <c r="J15"/>
  <c r="I15"/>
  <c r="I22" s="1"/>
  <c r="H15"/>
  <c r="H22" s="1"/>
  <c r="G15"/>
  <c r="G22" s="1"/>
  <c r="R15"/>
  <c r="R22" s="1"/>
  <c r="Q15"/>
  <c r="Q22" s="1"/>
  <c r="P15"/>
  <c r="O15"/>
  <c r="O22" s="1"/>
  <c r="N15"/>
  <c r="N22" s="1"/>
  <c r="M15"/>
  <c r="D22" l="1"/>
  <c r="F42" i="12" s="1"/>
  <c r="F56" s="1"/>
  <c r="AB15" i="16"/>
  <c r="P22" i="8"/>
  <c r="AD15" i="16"/>
  <c r="AB6"/>
  <c r="J22" i="8"/>
  <c r="C42" i="12" s="1"/>
  <c r="AC15" i="16"/>
  <c r="M22" i="8"/>
  <c r="H42" i="12" s="1"/>
  <c r="H56" s="1"/>
  <c r="AE15" i="16"/>
  <c r="E42" i="12"/>
  <c r="E56" s="1"/>
  <c r="K23" i="8"/>
  <c r="L23"/>
  <c r="H23"/>
  <c r="I23"/>
  <c r="N23"/>
  <c r="N24" s="1"/>
  <c r="Q23"/>
  <c r="Q24" s="1"/>
  <c r="R23"/>
  <c r="R24" s="1"/>
  <c r="O23"/>
  <c r="O24" s="1"/>
  <c r="AJ15"/>
  <c r="AK15"/>
  <c r="AL15"/>
  <c r="M95"/>
  <c r="M94"/>
  <c r="P94"/>
  <c r="P95"/>
  <c r="D94"/>
  <c r="D95"/>
  <c r="G95"/>
  <c r="G94"/>
  <c r="J94"/>
  <c r="J95"/>
  <c r="O6"/>
  <c r="H6"/>
  <c r="J6"/>
  <c r="N6"/>
  <c r="M6"/>
  <c r="G6"/>
  <c r="K6"/>
  <c r="I6"/>
  <c r="L6"/>
  <c r="C56" i="12" l="1"/>
  <c r="P42"/>
  <c r="D23" i="8"/>
  <c r="AB23" i="16" s="1"/>
  <c r="J42" i="12"/>
  <c r="G96" i="8"/>
  <c r="J97"/>
  <c r="G97"/>
  <c r="J96"/>
  <c r="M96"/>
  <c r="M97"/>
  <c r="P96"/>
  <c r="P97"/>
  <c r="D96"/>
  <c r="D97"/>
  <c r="M20"/>
  <c r="P23"/>
  <c r="AD23" i="16" s="1"/>
  <c r="G20" i="8"/>
  <c r="E21"/>
  <c r="N21"/>
  <c r="O21"/>
  <c r="Q21"/>
  <c r="R21"/>
  <c r="J56" i="12" l="1"/>
  <c r="Q42"/>
  <c r="D24" i="8"/>
  <c r="AB24" i="16" s="1"/>
  <c r="M23" i="8"/>
  <c r="AE23" i="16" s="1"/>
  <c r="AE20"/>
  <c r="E41" i="12"/>
  <c r="G23" i="8"/>
  <c r="J23"/>
  <c r="H41" i="12"/>
  <c r="J43"/>
  <c r="J41"/>
  <c r="R25" i="8"/>
  <c r="R28" s="1"/>
  <c r="R26"/>
  <c r="N25"/>
  <c r="N28" s="1"/>
  <c r="N26"/>
  <c r="O25"/>
  <c r="O28" s="1"/>
  <c r="O26"/>
  <c r="Q25"/>
  <c r="Q28" s="1"/>
  <c r="Q26"/>
  <c r="E25"/>
  <c r="E26"/>
  <c r="J24" l="1"/>
  <c r="AC24" i="16" s="1"/>
  <c r="AC23"/>
  <c r="H43" i="12"/>
  <c r="C41"/>
  <c r="P24" i="8"/>
  <c r="M21"/>
  <c r="M24"/>
  <c r="P21"/>
  <c r="F41" i="12"/>
  <c r="Z60" i="8"/>
  <c r="W60"/>
  <c r="AG59"/>
  <c r="AD59"/>
  <c r="Z59"/>
  <c r="W59"/>
  <c r="AG58"/>
  <c r="AD58"/>
  <c r="Z58"/>
  <c r="W58"/>
  <c r="AG57"/>
  <c r="AD57"/>
  <c r="Z56"/>
  <c r="W56"/>
  <c r="AG56"/>
  <c r="AD56"/>
  <c r="Y31"/>
  <c r="Y32" s="1"/>
  <c r="X31"/>
  <c r="X32" s="1"/>
  <c r="W31"/>
  <c r="W32" s="1"/>
  <c r="V31"/>
  <c r="AF31"/>
  <c r="AF32" s="1"/>
  <c r="AE31"/>
  <c r="AE32" s="1"/>
  <c r="AD31"/>
  <c r="AD32" s="1"/>
  <c r="AC31"/>
  <c r="AC32" s="1"/>
  <c r="AB17"/>
  <c r="Y12"/>
  <c r="Y23" s="1"/>
  <c r="X12"/>
  <c r="X23" s="1"/>
  <c r="W12"/>
  <c r="W23" s="1"/>
  <c r="V12"/>
  <c r="V23" s="1"/>
  <c r="U12"/>
  <c r="U23" s="1"/>
  <c r="AF12"/>
  <c r="AF23" s="1"/>
  <c r="AE12"/>
  <c r="AE23" s="1"/>
  <c r="AD12"/>
  <c r="AD23" s="1"/>
  <c r="AC12"/>
  <c r="AC23" s="1"/>
  <c r="AB12"/>
  <c r="AB23" s="1"/>
  <c r="AB25" s="1"/>
  <c r="Y7"/>
  <c r="X7"/>
  <c r="W7"/>
  <c r="V7"/>
  <c r="AF7"/>
  <c r="AE7"/>
  <c r="AD7"/>
  <c r="AC7"/>
  <c r="U6"/>
  <c r="AI6" s="1"/>
  <c r="AB6"/>
  <c r="Y5"/>
  <c r="AK5" s="1"/>
  <c r="X5"/>
  <c r="AL5" s="1"/>
  <c r="W5"/>
  <c r="V5"/>
  <c r="AJ5" s="1"/>
  <c r="AF5"/>
  <c r="AE5"/>
  <c r="AD5"/>
  <c r="AC5"/>
  <c r="Y3"/>
  <c r="X3"/>
  <c r="W3"/>
  <c r="V3"/>
  <c r="AF3"/>
  <c r="AE3"/>
  <c r="AD3"/>
  <c r="AD17" s="1"/>
  <c r="AC3"/>
  <c r="P5" i="7"/>
  <c r="P6"/>
  <c r="P7"/>
  <c r="P8"/>
  <c r="P9"/>
  <c r="P10"/>
  <c r="P11"/>
  <c r="P12"/>
  <c r="P4"/>
  <c r="O5"/>
  <c r="O6"/>
  <c r="O7"/>
  <c r="O8"/>
  <c r="O9"/>
  <c r="O10"/>
  <c r="O11"/>
  <c r="O12"/>
  <c r="O4"/>
  <c r="N5"/>
  <c r="N6"/>
  <c r="N7"/>
  <c r="N8"/>
  <c r="N9"/>
  <c r="N4"/>
  <c r="Q5" i="4"/>
  <c r="Q6"/>
  <c r="Q7"/>
  <c r="Q8"/>
  <c r="Q9"/>
  <c r="Q10"/>
  <c r="Q4"/>
  <c r="P5"/>
  <c r="P6"/>
  <c r="P7"/>
  <c r="P8"/>
  <c r="P9"/>
  <c r="P4"/>
  <c r="N5"/>
  <c r="N6"/>
  <c r="N7"/>
  <c r="N8"/>
  <c r="N9"/>
  <c r="N10"/>
  <c r="N4"/>
  <c r="I6"/>
  <c r="I7"/>
  <c r="I8"/>
  <c r="I10"/>
  <c r="I5"/>
  <c r="I14" i="7"/>
  <c r="I17"/>
  <c r="I5"/>
  <c r="I7"/>
  <c r="I9"/>
  <c r="I10"/>
  <c r="I4"/>
  <c r="D22"/>
  <c r="G13"/>
  <c r="C13"/>
  <c r="I13" s="1"/>
  <c r="C6"/>
  <c r="W17" i="8" l="1"/>
  <c r="W6"/>
  <c r="V32"/>
  <c r="AJ31"/>
  <c r="P25"/>
  <c r="AD25" i="16" s="1"/>
  <c r="AD24"/>
  <c r="Y6" i="8"/>
  <c r="AK6" s="1"/>
  <c r="AK3"/>
  <c r="M25"/>
  <c r="AE25" i="16" s="1"/>
  <c r="AE24"/>
  <c r="V6" i="8"/>
  <c r="AJ6" s="1"/>
  <c r="AJ3"/>
  <c r="X17"/>
  <c r="I46" i="12" s="1"/>
  <c r="I37" s="1"/>
  <c r="X6" i="8"/>
  <c r="AL6" s="1"/>
  <c r="AL3"/>
  <c r="Y20"/>
  <c r="K43" i="12"/>
  <c r="X20" i="8"/>
  <c r="I43" i="12"/>
  <c r="I44" s="1"/>
  <c r="W20" i="8"/>
  <c r="V20"/>
  <c r="D43" i="12"/>
  <c r="D44" s="1"/>
  <c r="U20" i="8"/>
  <c r="G43" i="12"/>
  <c r="G44" s="1"/>
  <c r="J44"/>
  <c r="P26" i="8"/>
  <c r="M26"/>
  <c r="H44" i="12"/>
  <c r="J47"/>
  <c r="F43"/>
  <c r="D21" i="8"/>
  <c r="I6" i="7"/>
  <c r="N21"/>
  <c r="N22"/>
  <c r="U25" i="8"/>
  <c r="G47" i="12" s="1"/>
  <c r="AI23" i="8"/>
  <c r="AL23"/>
  <c r="AL24"/>
  <c r="AK23"/>
  <c r="AK24"/>
  <c r="AB28"/>
  <c r="AG61"/>
  <c r="AF34" s="1"/>
  <c r="AF35" s="1"/>
  <c r="AD61"/>
  <c r="AD34" s="1"/>
  <c r="AD35" s="1"/>
  <c r="Y25"/>
  <c r="Y17"/>
  <c r="V25"/>
  <c r="D47" i="12" s="1"/>
  <c r="V17" i="8"/>
  <c r="Z61"/>
  <c r="AD25"/>
  <c r="AD28" s="1"/>
  <c r="AF25"/>
  <c r="AC25"/>
  <c r="W61"/>
  <c r="X25"/>
  <c r="I47" i="12" s="1"/>
  <c r="W25" i="8"/>
  <c r="W28" s="1"/>
  <c r="AF17"/>
  <c r="AE25"/>
  <c r="AE17"/>
  <c r="AC17"/>
  <c r="D4" i="7"/>
  <c r="D18" s="1"/>
  <c r="C9" i="4"/>
  <c r="C14"/>
  <c r="T21" s="1"/>
  <c r="G14"/>
  <c r="F39" i="2"/>
  <c r="D39"/>
  <c r="E35"/>
  <c r="C35"/>
  <c r="E34"/>
  <c r="C34"/>
  <c r="E33"/>
  <c r="C33"/>
  <c r="E32"/>
  <c r="C32"/>
  <c r="C31"/>
  <c r="E30"/>
  <c r="C30"/>
  <c r="C29"/>
  <c r="E28"/>
  <c r="C28"/>
  <c r="C27"/>
  <c r="F26"/>
  <c r="D26"/>
  <c r="E26"/>
  <c r="C26"/>
  <c r="E25"/>
  <c r="C25"/>
  <c r="C24"/>
  <c r="E23"/>
  <c r="C23"/>
  <c r="E22"/>
  <c r="C22"/>
  <c r="C21"/>
  <c r="F6"/>
  <c r="B6"/>
  <c r="M19" i="4" l="1"/>
  <c r="M18"/>
  <c r="T24"/>
  <c r="T27" s="1"/>
  <c r="T28"/>
  <c r="CI4" i="8" s="1"/>
  <c r="AL17"/>
  <c r="M28"/>
  <c r="AE28" i="16" s="1"/>
  <c r="AD26"/>
  <c r="P28" i="8"/>
  <c r="J48" i="12" s="1"/>
  <c r="D16" s="1"/>
  <c r="AE26" i="16"/>
  <c r="H47" i="12"/>
  <c r="X34" i="8"/>
  <c r="X35" s="1"/>
  <c r="Z62"/>
  <c r="W34"/>
  <c r="W36" s="1"/>
  <c r="W38" s="1"/>
  <c r="W62"/>
  <c r="G41" i="12"/>
  <c r="AI20" i="8"/>
  <c r="K41" i="12"/>
  <c r="Q41" s="1"/>
  <c r="AK20" i="8"/>
  <c r="K44" i="12"/>
  <c r="Q44" s="1"/>
  <c r="Q43"/>
  <c r="I41"/>
  <c r="AL20" i="8"/>
  <c r="AK25"/>
  <c r="AK26" s="1"/>
  <c r="K47" i="12"/>
  <c r="Q47" s="1"/>
  <c r="AK17" i="8"/>
  <c r="K46" i="12"/>
  <c r="D41"/>
  <c r="P41" s="1"/>
  <c r="AJ17" i="8"/>
  <c r="D46" i="12"/>
  <c r="F44"/>
  <c r="D25" i="8"/>
  <c r="D26"/>
  <c r="AI24"/>
  <c r="X28"/>
  <c r="I48" i="12" s="1"/>
  <c r="AL25" i="8"/>
  <c r="AL26" s="1"/>
  <c r="U28"/>
  <c r="G48" i="12" s="1"/>
  <c r="AE34" i="8"/>
  <c r="AE35" s="1"/>
  <c r="Y28"/>
  <c r="V28"/>
  <c r="AC34"/>
  <c r="AC35" s="1"/>
  <c r="AB34"/>
  <c r="AB35" s="1"/>
  <c r="Y34"/>
  <c r="AC28"/>
  <c r="AF28"/>
  <c r="V34"/>
  <c r="AE28"/>
  <c r="U34"/>
  <c r="AF36"/>
  <c r="AD36"/>
  <c r="AD38" s="1"/>
  <c r="I9" i="4"/>
  <c r="D4"/>
  <c r="I14"/>
  <c r="D6" i="7"/>
  <c r="D7"/>
  <c r="D8"/>
  <c r="D9"/>
  <c r="D10"/>
  <c r="D11"/>
  <c r="D12"/>
  <c r="D13"/>
  <c r="D14"/>
  <c r="D15"/>
  <c r="D16"/>
  <c r="D17"/>
  <c r="D19"/>
  <c r="D20"/>
  <c r="D5"/>
  <c r="CG4" i="8" l="1"/>
  <c r="I17" i="9"/>
  <c r="BQ4" i="8"/>
  <c r="CG40" s="1"/>
  <c r="H17" i="9"/>
  <c r="AU71" i="8"/>
  <c r="BS4"/>
  <c r="CI40" s="1"/>
  <c r="AU70"/>
  <c r="H8" i="9"/>
  <c r="BT59" i="8"/>
  <c r="BS59" s="1"/>
  <c r="AS68" s="1"/>
  <c r="AD28" i="16"/>
  <c r="L8" i="9"/>
  <c r="H48" i="12"/>
  <c r="G16" s="1"/>
  <c r="E17"/>
  <c r="F47"/>
  <c r="AB25" i="16"/>
  <c r="AB26" s="1"/>
  <c r="I39" i="12"/>
  <c r="I40" s="1"/>
  <c r="AL35" i="8"/>
  <c r="AL34"/>
  <c r="X36"/>
  <c r="I49" i="12" s="1"/>
  <c r="W35" i="8"/>
  <c r="P46" i="12"/>
  <c r="D37"/>
  <c r="P37" s="1"/>
  <c r="Q46"/>
  <c r="K37"/>
  <c r="Q37" s="1"/>
  <c r="CH63" i="8"/>
  <c r="O17" i="4"/>
  <c r="K48" i="12"/>
  <c r="P20" i="7"/>
  <c r="D48" i="12"/>
  <c r="AI25" i="8"/>
  <c r="AI26" s="1"/>
  <c r="H9" i="9"/>
  <c r="AU68" i="8"/>
  <c r="AU69"/>
  <c r="AT68"/>
  <c r="AT69"/>
  <c r="K9" i="9"/>
  <c r="AR7" i="8"/>
  <c r="G9" i="9"/>
  <c r="AL28" i="8"/>
  <c r="L9" i="9"/>
  <c r="U35" i="8"/>
  <c r="AI34"/>
  <c r="Y35"/>
  <c r="AK34"/>
  <c r="V35"/>
  <c r="AJ34"/>
  <c r="AV7"/>
  <c r="AK28"/>
  <c r="AE36"/>
  <c r="AE38" s="1"/>
  <c r="U36"/>
  <c r="AC36"/>
  <c r="AC38" s="1"/>
  <c r="Y36"/>
  <c r="V36"/>
  <c r="AB36"/>
  <c r="AB38" s="1"/>
  <c r="AF38"/>
  <c r="D6" i="4"/>
  <c r="D7"/>
  <c r="D8"/>
  <c r="D9"/>
  <c r="D10"/>
  <c r="D11"/>
  <c r="D12"/>
  <c r="D13"/>
  <c r="D14"/>
  <c r="D15"/>
  <c r="D16"/>
  <c r="D5"/>
  <c r="L10" i="9" l="1"/>
  <c r="G17" i="12"/>
  <c r="K39"/>
  <c r="AK35" i="8"/>
  <c r="D39" i="12"/>
  <c r="AJ35" i="8"/>
  <c r="G39" i="12"/>
  <c r="G40" s="1"/>
  <c r="AI35" i="8"/>
  <c r="X38"/>
  <c r="L25" i="9" s="1"/>
  <c r="Q48" i="12"/>
  <c r="D17"/>
  <c r="V38" i="8"/>
  <c r="D49" i="12"/>
  <c r="Y38" i="8"/>
  <c r="K49" i="12"/>
  <c r="U38" i="8"/>
  <c r="G49" i="12"/>
  <c r="H18" i="9"/>
  <c r="G18"/>
  <c r="BT63" i="8"/>
  <c r="BS63" s="1"/>
  <c r="BS1" s="1"/>
  <c r="BS5"/>
  <c r="BQ5"/>
  <c r="BD65"/>
  <c r="BC65" s="1"/>
  <c r="BA5"/>
  <c r="BC5"/>
  <c r="H10" i="9"/>
  <c r="CH60" i="8"/>
  <c r="E43" i="12"/>
  <c r="P39" l="1"/>
  <c r="D40"/>
  <c r="P40" s="1"/>
  <c r="Q39"/>
  <c r="K40"/>
  <c r="Q40" s="1"/>
  <c r="I51"/>
  <c r="G19"/>
  <c r="G14" i="9"/>
  <c r="G16" s="1"/>
  <c r="BC1" i="8"/>
  <c r="AR71" s="1"/>
  <c r="G25" i="9"/>
  <c r="C19" i="12"/>
  <c r="D51"/>
  <c r="H25" i="9"/>
  <c r="D19" i="12"/>
  <c r="K51"/>
  <c r="Y39" i="8"/>
  <c r="K25" i="9"/>
  <c r="F19" i="12"/>
  <c r="G51"/>
  <c r="CI41" i="8"/>
  <c r="CG41"/>
  <c r="H14" i="9"/>
  <c r="H15" s="1"/>
  <c r="AS72" i="8"/>
  <c r="L21"/>
  <c r="L24"/>
  <c r="L26" s="1"/>
  <c r="G21"/>
  <c r="G24"/>
  <c r="I21"/>
  <c r="I24"/>
  <c r="I26" s="1"/>
  <c r="H21"/>
  <c r="H24"/>
  <c r="H26" s="1"/>
  <c r="BS2"/>
  <c r="CI60"/>
  <c r="CJ60" s="1"/>
  <c r="AR72"/>
  <c r="AS71"/>
  <c r="CG1" l="1"/>
  <c r="CI1"/>
  <c r="G26"/>
  <c r="E44" i="12"/>
  <c r="C43"/>
  <c r="P43" s="1"/>
  <c r="I25" i="9"/>
  <c r="I27" s="1"/>
  <c r="E19" i="12"/>
  <c r="BQ2" i="8"/>
  <c r="CG37"/>
  <c r="AS70"/>
  <c r="AS69"/>
  <c r="K21"/>
  <c r="K24"/>
  <c r="K26" s="1"/>
  <c r="CI37"/>
  <c r="CG5"/>
  <c r="CI5"/>
  <c r="AR70"/>
  <c r="H16" i="9"/>
  <c r="J21" i="8"/>
  <c r="AJ23"/>
  <c r="G25"/>
  <c r="I25"/>
  <c r="I28" s="1"/>
  <c r="L25"/>
  <c r="L28" s="1"/>
  <c r="R29" s="1"/>
  <c r="H25"/>
  <c r="H28" s="1"/>
  <c r="AJ20" l="1"/>
  <c r="C44" i="12"/>
  <c r="P44" s="1"/>
  <c r="G28" i="8"/>
  <c r="E47" i="12"/>
  <c r="AJ24" i="8"/>
  <c r="J26"/>
  <c r="J25"/>
  <c r="K25"/>
  <c r="K28" s="1"/>
  <c r="Q29" s="1"/>
  <c r="F15"/>
  <c r="F22" s="1"/>
  <c r="J28" l="1"/>
  <c r="AC25" i="16"/>
  <c r="AC26" s="1"/>
  <c r="F23" i="8"/>
  <c r="F24" s="1"/>
  <c r="C47" i="12"/>
  <c r="P47" s="1"/>
  <c r="M8" i="9"/>
  <c r="E48" i="12"/>
  <c r="H16" s="1"/>
  <c r="AJ25" i="8"/>
  <c r="AJ26" s="1"/>
  <c r="E28"/>
  <c r="AC28" i="16" l="1"/>
  <c r="AD29" s="1"/>
  <c r="P29" i="8"/>
  <c r="F25"/>
  <c r="F28" s="1"/>
  <c r="F21"/>
  <c r="BC2"/>
  <c r="CI38" s="1"/>
  <c r="BA2"/>
  <c r="CG38" s="1"/>
  <c r="AI17"/>
  <c r="F46" i="12"/>
  <c r="F37" s="1"/>
  <c r="C48"/>
  <c r="AJ28" i="8"/>
  <c r="AK29" s="1"/>
  <c r="G8" i="9"/>
  <c r="BD62" i="8"/>
  <c r="BC62" s="1"/>
  <c r="D28"/>
  <c r="AB28" i="16" s="1"/>
  <c r="F26" i="8" l="1"/>
  <c r="P48" i="12"/>
  <c r="C16"/>
  <c r="E16" s="1"/>
  <c r="C17"/>
  <c r="AI15" i="8"/>
  <c r="F48" i="12"/>
  <c r="G15" i="9"/>
  <c r="AR68" i="8"/>
  <c r="AR69"/>
  <c r="CI63"/>
  <c r="CJ63" s="1"/>
  <c r="G10" i="9"/>
  <c r="I8"/>
  <c r="I9"/>
  <c r="K8"/>
  <c r="K10" s="1"/>
  <c r="AI28" i="8"/>
  <c r="H36"/>
  <c r="H38" s="1"/>
  <c r="K31"/>
  <c r="AK31" s="1"/>
  <c r="O31"/>
  <c r="R31"/>
  <c r="E36"/>
  <c r="E38" s="1"/>
  <c r="L31"/>
  <c r="J36"/>
  <c r="Q31"/>
  <c r="N31"/>
  <c r="M31"/>
  <c r="H32" i="12" s="1"/>
  <c r="F36" i="8"/>
  <c r="F38" s="1"/>
  <c r="P31"/>
  <c r="G36"/>
  <c r="D36"/>
  <c r="AB36" i="16" s="1"/>
  <c r="I36" i="8"/>
  <c r="I38" s="1"/>
  <c r="AD31" i="16" l="1"/>
  <c r="J32" i="12"/>
  <c r="AE31" i="16"/>
  <c r="AL31" i="8"/>
  <c r="J38"/>
  <c r="AC38" i="16" s="1"/>
  <c r="AC36"/>
  <c r="I14" i="9"/>
  <c r="I16" s="1"/>
  <c r="CI2" i="8"/>
  <c r="F17" i="12"/>
  <c r="F16"/>
  <c r="G38" i="8"/>
  <c r="E49" i="12"/>
  <c r="C49"/>
  <c r="P49" s="1"/>
  <c r="F49"/>
  <c r="I10" i="9"/>
  <c r="I18"/>
  <c r="G40" i="8"/>
  <c r="D40"/>
  <c r="D38"/>
  <c r="AB38" i="16" s="1"/>
  <c r="AI36" i="8"/>
  <c r="AJ36"/>
  <c r="N32"/>
  <c r="N36" s="1"/>
  <c r="N38" s="1"/>
  <c r="R32"/>
  <c r="R36" s="1"/>
  <c r="R38" s="1"/>
  <c r="L32"/>
  <c r="L36" s="1"/>
  <c r="L38" s="1"/>
  <c r="Q32"/>
  <c r="Q36" s="1"/>
  <c r="Q38" s="1"/>
  <c r="M32"/>
  <c r="M36" s="1"/>
  <c r="AE36" i="16" s="1"/>
  <c r="K32" i="8"/>
  <c r="K36" s="1"/>
  <c r="K38" s="1"/>
  <c r="O32"/>
  <c r="O36" s="1"/>
  <c r="O38" s="1"/>
  <c r="P32"/>
  <c r="P36" s="1"/>
  <c r="AD36" i="16" s="1"/>
  <c r="CG2" i="8" l="1"/>
  <c r="I15" i="9"/>
  <c r="R39" i="8"/>
  <c r="M24" i="9"/>
  <c r="E51" i="12"/>
  <c r="H18" s="1"/>
  <c r="AJ38" i="8"/>
  <c r="C51" i="12"/>
  <c r="Q39" i="8"/>
  <c r="H49" i="12"/>
  <c r="J49"/>
  <c r="Q49" s="1"/>
  <c r="AI38" i="8"/>
  <c r="F51" i="12"/>
  <c r="J40" i="8"/>
  <c r="M40"/>
  <c r="P40"/>
  <c r="K24" i="9"/>
  <c r="K26" s="1"/>
  <c r="M38" i="8"/>
  <c r="AE38" i="16" s="1"/>
  <c r="AL36" i="8"/>
  <c r="G24" i="9"/>
  <c r="G26" s="1"/>
  <c r="P38" i="8"/>
  <c r="AD38" i="16" s="1"/>
  <c r="AD39" s="1"/>
  <c r="AK36" i="8"/>
  <c r="P41" l="1"/>
  <c r="C18" i="12"/>
  <c r="C52"/>
  <c r="C20" s="1"/>
  <c r="AL38" i="8"/>
  <c r="H51" i="12"/>
  <c r="J51"/>
  <c r="P39" i="8"/>
  <c r="F18" i="12"/>
  <c r="F52"/>
  <c r="F20" s="1"/>
  <c r="AK38" i="8"/>
  <c r="AK39" s="1"/>
  <c r="H24" i="9"/>
  <c r="L24"/>
  <c r="L26" s="1"/>
  <c r="G18" i="12" l="1"/>
  <c r="H52"/>
  <c r="G20" s="1"/>
  <c r="D18"/>
  <c r="J52"/>
  <c r="D20" s="1"/>
  <c r="H26" i="9"/>
  <c r="I24"/>
  <c r="I26" s="1"/>
  <c r="E18" i="12" l="1"/>
</calcChain>
</file>

<file path=xl/comments1.xml><?xml version="1.0" encoding="utf-8"?>
<comments xmlns="http://schemas.openxmlformats.org/spreadsheetml/2006/main">
  <authors>
    <author>djibril diakite</author>
  </authors>
  <commentList>
    <comment ref="S3" authorId="0">
      <text>
        <r>
          <rPr>
            <sz val="9"/>
            <color indexed="81"/>
            <rFont val="Tahoma"/>
            <family val="2"/>
          </rPr>
          <t>In other sheets' dedicated areas, lines may freely added.
In final post-consultation 2014 WACC, these areas will address discrepancies from present 2013 WACC.</t>
        </r>
      </text>
    </comment>
    <comment ref="D14" authorId="0">
      <text>
        <r>
          <rPr>
            <sz val="9"/>
            <color indexed="81"/>
            <rFont val="Tahoma"/>
            <family val="2"/>
          </rPr>
          <t xml:space="preserve">Comparison with BIPT's WACC before Dnot more relevant because of the absence of any similar provision elsewhere, at least in European NRAs WACC determinations.
</t>
        </r>
      </text>
    </comment>
    <comment ref="I14" authorId="0">
      <text>
        <r>
          <rPr>
            <sz val="9"/>
            <color indexed="81"/>
            <rFont val="Tahoma"/>
            <family val="2"/>
          </rPr>
          <t xml:space="preserve">Only for NRAs having determined both Fixed and Mobile WACC (and excl. Greece : 6-year gap between decisions).
</t>
        </r>
      </text>
    </comment>
    <comment ref="G27" authorId="0">
      <text>
        <r>
          <rPr>
            <sz val="9"/>
            <color indexed="81"/>
            <rFont val="Tahoma"/>
            <family val="2"/>
          </rPr>
          <t xml:space="preserve">Vs. BRIO 2008 : 11.20% 
(11.45% before </t>
        </r>
        <r>
          <rPr>
            <sz val="9"/>
            <color indexed="81"/>
            <rFont val="Symbol"/>
            <family val="1"/>
            <charset val="2"/>
          </rPr>
          <t>D</t>
        </r>
        <r>
          <rPr>
            <sz val="9"/>
            <color indexed="81"/>
            <rFont val="Tahoma"/>
            <family val="2"/>
          </rPr>
          <t>not).</t>
        </r>
      </text>
    </comment>
    <comment ref="H27" authorId="0">
      <text>
        <r>
          <rPr>
            <sz val="9"/>
            <color indexed="81"/>
            <rFont val="Tahoma"/>
            <family val="2"/>
          </rPr>
          <t xml:space="preserve">Vs. Mobile 2006 : 12.24% (12.93% before </t>
        </r>
        <r>
          <rPr>
            <sz val="9"/>
            <color indexed="81"/>
            <rFont val="Symbol"/>
            <family val="1"/>
            <charset val="2"/>
          </rPr>
          <t>D</t>
        </r>
        <r>
          <rPr>
            <sz val="9"/>
            <color indexed="81"/>
            <rFont val="Tahoma"/>
            <family val="2"/>
          </rPr>
          <t xml:space="preserve">not).
</t>
        </r>
      </text>
    </comment>
  </commentList>
</comments>
</file>

<file path=xl/comments2.xml><?xml version="1.0" encoding="utf-8"?>
<comments xmlns="http://schemas.openxmlformats.org/spreadsheetml/2006/main">
  <authors>
    <author>djibril diakite</author>
    <author>ddiakite</author>
  </authors>
  <commentList>
    <comment ref="D2" authorId="0">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G2" authorId="0">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J2" authorId="0">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M2" authorId="0">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P2" authorId="0">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U5" authorId="1">
      <text>
        <r>
          <rPr>
            <sz val="8"/>
            <color indexed="81"/>
            <rFont val="Tahoma"/>
            <family val="2"/>
          </rPr>
          <t>Instead of 5% pre-consultation</t>
        </r>
      </text>
    </comment>
    <comment ref="AT9" authorId="0">
      <text>
        <r>
          <rPr>
            <sz val="9"/>
            <color indexed="81"/>
            <rFont val="Tahoma"/>
            <family val="2"/>
          </rPr>
          <t>Proposed in 1Q13 with a NGA risk premium of 4.8% until Feb. 2016</t>
        </r>
      </text>
    </comment>
    <comment ref="AV9" authorId="0">
      <text>
        <r>
          <rPr>
            <sz val="9"/>
            <color indexed="81"/>
            <rFont val="Tahoma"/>
            <family val="2"/>
          </rPr>
          <t xml:space="preserve">9.33% Vodafone,
9.51% Orange,
10.48% Telefonica Moviles
</t>
        </r>
      </text>
    </comment>
    <comment ref="B10" authorId="0">
      <text>
        <r>
          <rPr>
            <sz val="9"/>
            <color indexed="81"/>
            <rFont val="Tahoma"/>
            <family val="2"/>
          </rPr>
          <t>Just for illustration</t>
        </r>
      </text>
    </comment>
    <comment ref="AR13" authorId="0">
      <text>
        <r>
          <rPr>
            <sz val="9"/>
            <color indexed="81"/>
            <rFont val="Tahoma"/>
            <family val="2"/>
          </rPr>
          <t xml:space="preserve">(Average)
</t>
        </r>
      </text>
    </comment>
    <comment ref="AR14" authorId="0">
      <text>
        <r>
          <rPr>
            <sz val="9"/>
            <color indexed="81"/>
            <rFont val="Tahoma"/>
            <family val="2"/>
          </rPr>
          <t xml:space="preserve">Proposed value (from 9.36% set in Nov. 2011)
</t>
        </r>
      </text>
    </comment>
    <comment ref="AT14" authorId="0">
      <text>
        <r>
          <rPr>
            <sz val="9"/>
            <color indexed="81"/>
            <rFont val="Tahoma"/>
            <family val="2"/>
          </rPr>
          <t xml:space="preserve">Proposed premia for new infra :
+1.2% FFTC, +3.2% FTTH
</t>
        </r>
      </text>
    </comment>
    <comment ref="AV15" authorId="0">
      <text>
        <r>
          <rPr>
            <sz val="9"/>
            <color indexed="81"/>
            <rFont val="Tahoma"/>
            <family val="2"/>
          </rPr>
          <t xml:space="preserve">Updated value from a pdf presentation early 2013 (google : thore johnsen mobile vak 2010). Was 13.5% in previous NPT decision (still mentioned by Cullen).
</t>
        </r>
      </text>
    </comment>
    <comment ref="AP16" authorId="0">
      <text>
        <r>
          <rPr>
            <sz val="9"/>
            <color indexed="81"/>
            <rFont val="Tahoma"/>
            <family val="2"/>
          </rPr>
          <t xml:space="preserve">"WACC for mobile, fixed-line and cable termination rates"
</t>
        </r>
      </text>
    </comment>
    <comment ref="AT16" authorId="0">
      <text>
        <r>
          <rPr>
            <sz val="9"/>
            <color indexed="81"/>
            <rFont val="Tahoma"/>
            <family val="2"/>
          </rPr>
          <t xml:space="preserve">"(Undisclosed") risk premium on top of copper access"
</t>
        </r>
      </text>
    </comment>
    <comment ref="AP17" authorId="0">
      <text>
        <r>
          <rPr>
            <sz val="9"/>
            <color indexed="81"/>
            <rFont val="Tahoma"/>
            <family val="2"/>
          </rPr>
          <t xml:space="preserve">"For KPN's wholsale activities"
Marpij addition - not in Cullen's benchmark
</t>
        </r>
      </text>
    </comment>
    <comment ref="AR18" authorId="0">
      <text>
        <r>
          <rPr>
            <sz val="9"/>
            <color indexed="81"/>
            <rFont val="Tahoma"/>
            <family val="2"/>
          </rPr>
          <t>(Applicable to 2011)</t>
        </r>
      </text>
    </comment>
    <comment ref="AR19" authorId="0">
      <text>
        <r>
          <rPr>
            <sz val="9"/>
            <color indexed="81"/>
            <rFont val="Tahoma"/>
            <family val="2"/>
          </rPr>
          <t xml:space="preserve">For Openreach. Ofcom :
"As previously stated, what we describe as the cost of capital for Openreach is more specifically a rate for BT’s copper access services business. This definition still applies, although we will continue to refer to it as the ‘Openreach WACC.’ "
</t>
        </r>
      </text>
    </comment>
    <comment ref="B20" authorId="0">
      <text>
        <r>
          <rPr>
            <sz val="9"/>
            <color indexed="81"/>
            <rFont val="Tahoma"/>
            <family val="2"/>
          </rPr>
          <t xml:space="preserve">Impact only if opposite </t>
        </r>
        <r>
          <rPr>
            <sz val="9"/>
            <color indexed="81"/>
            <rFont val="Arial"/>
            <family val="2"/>
          </rPr>
          <t>β</t>
        </r>
        <r>
          <rPr>
            <sz val="9"/>
            <color indexed="81"/>
            <rFont val="Tahoma"/>
            <family val="2"/>
          </rPr>
          <t xml:space="preserve">a input cells are forced
</t>
        </r>
      </text>
    </comment>
    <comment ref="AR20" authorId="0">
      <text>
        <r>
          <rPr>
            <sz val="9"/>
            <color indexed="81"/>
            <rFont val="Tahoma"/>
            <family val="2"/>
          </rPr>
          <t xml:space="preserve">Proposed rate in Q2 2013 for application from 01/01/2014. Previously : 8.8% since Feb. 2011, 8.2%  before
</t>
        </r>
      </text>
    </comment>
    <comment ref="AV20" authorId="0">
      <text>
        <r>
          <rPr>
            <sz val="9"/>
            <color indexed="81"/>
            <rFont val="Tahoma"/>
            <family val="2"/>
          </rPr>
          <t xml:space="preserve">Previous WACC : 12.9% set in 2008
</t>
        </r>
      </text>
    </comment>
    <comment ref="U31" authorId="0">
      <text>
        <r>
          <rPr>
            <sz val="9"/>
            <color indexed="81"/>
            <rFont val="Tahoma"/>
            <family val="2"/>
          </rPr>
          <t xml:space="preserve">4.1% pre-consultation
</t>
        </r>
      </text>
    </comment>
    <comment ref="BF33" authorId="0">
      <text>
        <r>
          <rPr>
            <sz val="9"/>
            <color indexed="81"/>
            <rFont val="Tahoma"/>
            <family val="2"/>
          </rPr>
          <t xml:space="preserve">(without opening a "pandora box", i.e. updating parameters as well with methodologies considered by each NRA)
</t>
        </r>
      </text>
    </comment>
  </commentList>
</comments>
</file>

<file path=xl/comments3.xml><?xml version="1.0" encoding="utf-8"?>
<comments xmlns="http://schemas.openxmlformats.org/spreadsheetml/2006/main">
  <authors>
    <author>djibril diakite</author>
    <author>ddiakite</author>
  </authors>
  <commentList>
    <comment ref="D2" authorId="0">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G2" authorId="0">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J2" authorId="0">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M2" authorId="0">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P2" authorId="0">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U5" authorId="1">
      <text>
        <r>
          <rPr>
            <sz val="8"/>
            <color indexed="81"/>
            <rFont val="Tahoma"/>
            <family val="2"/>
          </rPr>
          <t>Instead of 5% pre-consultation</t>
        </r>
      </text>
    </comment>
    <comment ref="B10" authorId="0">
      <text>
        <r>
          <rPr>
            <sz val="9"/>
            <color indexed="81"/>
            <rFont val="Tahoma"/>
            <family val="2"/>
          </rPr>
          <t>Just for illustration</t>
        </r>
      </text>
    </comment>
    <comment ref="B20" authorId="0">
      <text>
        <r>
          <rPr>
            <sz val="9"/>
            <color indexed="81"/>
            <rFont val="Tahoma"/>
            <family val="2"/>
          </rPr>
          <t xml:space="preserve">Impact only if opposite </t>
        </r>
        <r>
          <rPr>
            <sz val="9"/>
            <color indexed="81"/>
            <rFont val="Arial"/>
            <family val="2"/>
          </rPr>
          <t>β</t>
        </r>
        <r>
          <rPr>
            <sz val="9"/>
            <color indexed="81"/>
            <rFont val="Tahoma"/>
            <family val="2"/>
          </rPr>
          <t xml:space="preserve">a input cells are forced
</t>
        </r>
      </text>
    </comment>
    <comment ref="U31" authorId="0">
      <text>
        <r>
          <rPr>
            <sz val="9"/>
            <color indexed="81"/>
            <rFont val="Tahoma"/>
            <family val="2"/>
          </rPr>
          <t xml:space="preserve">4.1% pre-consultation
</t>
        </r>
      </text>
    </comment>
  </commentList>
</comments>
</file>

<file path=xl/comments4.xml><?xml version="1.0" encoding="utf-8"?>
<comments xmlns="http://schemas.openxmlformats.org/spreadsheetml/2006/main">
  <authors>
    <author>ddiakite</author>
  </authors>
  <commentList>
    <comment ref="B8" authorId="0">
      <text>
        <r>
          <rPr>
            <b/>
            <sz val="8"/>
            <color indexed="81"/>
            <rFont val="Tahoma"/>
            <family val="2"/>
          </rPr>
          <t>dec 2008</t>
        </r>
        <r>
          <rPr>
            <sz val="8"/>
            <color indexed="81"/>
            <rFont val="Tahoma"/>
            <family val="2"/>
          </rPr>
          <t xml:space="preserve">
</t>
        </r>
      </text>
    </comment>
  </commentList>
</comments>
</file>

<file path=xl/comments5.xml><?xml version="1.0" encoding="utf-8"?>
<comments xmlns="http://schemas.openxmlformats.org/spreadsheetml/2006/main">
  <authors>
    <author>ddiakite</author>
  </authors>
  <commentList>
    <comment ref="Q18" authorId="0">
      <text>
        <r>
          <rPr>
            <b/>
            <sz val="8"/>
            <color indexed="81"/>
            <rFont val="Tahoma"/>
            <family val="2"/>
          </rPr>
          <t>dec 2008</t>
        </r>
        <r>
          <rPr>
            <sz val="8"/>
            <color indexed="81"/>
            <rFont val="Tahoma"/>
            <family val="2"/>
          </rPr>
          <t xml:space="preserve">
</t>
        </r>
      </text>
    </comment>
  </commentList>
</comments>
</file>

<file path=xl/sharedStrings.xml><?xml version="1.0" encoding="utf-8"?>
<sst xmlns="http://schemas.openxmlformats.org/spreadsheetml/2006/main" count="1630" uniqueCount="534">
  <si>
    <t>Rf</t>
  </si>
  <si>
    <t>Proximus</t>
  </si>
  <si>
    <t>Mobistar</t>
  </si>
  <si>
    <t>Belgacom</t>
  </si>
  <si>
    <t>Rnot</t>
  </si>
  <si>
    <t>Eb/E</t>
  </si>
  <si>
    <t>Beta économique</t>
  </si>
  <si>
    <t>Taux sans risque</t>
  </si>
  <si>
    <t>Prime de marché</t>
  </si>
  <si>
    <t xml:space="preserve">Taux d'imposition </t>
  </si>
  <si>
    <t>t</t>
  </si>
  <si>
    <t>βa</t>
  </si>
  <si>
    <t>Beta fonds propres</t>
  </si>
  <si>
    <t>Coût des fonds propres</t>
  </si>
  <si>
    <t>Prime de dette</t>
  </si>
  <si>
    <t>d</t>
  </si>
  <si>
    <t>Coût de la dette</t>
  </si>
  <si>
    <t>WACC avant impôt</t>
  </si>
  <si>
    <t>WACC après impôt</t>
  </si>
  <si>
    <t>Fixe</t>
  </si>
  <si>
    <t>Mobile</t>
  </si>
  <si>
    <t>E</t>
  </si>
  <si>
    <t>Delta WACC notionnel</t>
  </si>
  <si>
    <t xml:space="preserve">Taux d'intérêt notionnel </t>
  </si>
  <si>
    <t>WACC* avec déd. not.</t>
  </si>
  <si>
    <t xml:space="preserve">Eb  </t>
  </si>
  <si>
    <t>Nominal pre-tax</t>
  </si>
  <si>
    <t>Décision (ou dernière proposition)</t>
  </si>
  <si>
    <t>Autriche</t>
  </si>
  <si>
    <t>approval</t>
  </si>
  <si>
    <t>n.d.</t>
  </si>
  <si>
    <t>Belgique</t>
  </si>
  <si>
    <t>8,07% post tax</t>
  </si>
  <si>
    <t>Danemark</t>
  </si>
  <si>
    <t>2008 (Fixe 8,85%)</t>
  </si>
  <si>
    <t>Finlande</t>
  </si>
  <si>
    <t>8,73%-10,90%</t>
  </si>
  <si>
    <t>11,45%-14,31%</t>
  </si>
  <si>
    <t>France</t>
  </si>
  <si>
    <t>Allemagne</t>
  </si>
  <si>
    <t>based on value of accounting books ('Bilanzmethode'</t>
  </si>
  <si>
    <t>Grèce</t>
  </si>
  <si>
    <t>Ireland</t>
  </si>
  <si>
    <t>pas de décision</t>
  </si>
  <si>
    <t>Italie</t>
  </si>
  <si>
    <t>Pays-Bas</t>
  </si>
  <si>
    <t>7,6% real pre-tax</t>
  </si>
  <si>
    <t>(real 11,55%)</t>
  </si>
  <si>
    <t>Norvège</t>
  </si>
  <si>
    <t>pour Telenor, 14% pour NetCom (2007)</t>
  </si>
  <si>
    <t>Portugal</t>
  </si>
  <si>
    <t>Espagne</t>
  </si>
  <si>
    <t>Suède</t>
  </si>
  <si>
    <t>Suisse</t>
  </si>
  <si>
    <t>real?</t>
  </si>
  <si>
    <t>Royaume-Uni</t>
  </si>
  <si>
    <t>=moyenne(9,75%; 10,75%) LLU</t>
  </si>
  <si>
    <t>11,2% real pre-tax</t>
  </si>
  <si>
    <t>Pays et dernière décision (proposition)</t>
  </si>
  <si>
    <t>Nominal avant impôt</t>
  </si>
  <si>
    <t>2004-2006, 2007?</t>
  </si>
  <si>
    <t>Belgacom 2009</t>
  </si>
  <si>
    <t>Belgique Fixe</t>
  </si>
  <si>
    <t>Belgique Mobile</t>
  </si>
  <si>
    <t>Moyenne</t>
  </si>
  <si>
    <t>Suisse 2008</t>
  </si>
  <si>
    <t>Danemark 2008</t>
  </si>
  <si>
    <t>Suède 2008</t>
  </si>
  <si>
    <t>Allemagne 2007</t>
  </si>
  <si>
    <t>Italie 2006</t>
  </si>
  <si>
    <t>Grèce 2006</t>
  </si>
  <si>
    <t>Espagne 2008</t>
  </si>
  <si>
    <t>Belgique 2008</t>
  </si>
  <si>
    <t>Norvège 2008</t>
  </si>
  <si>
    <t>Irlande 2008</t>
  </si>
  <si>
    <t>Eb  consol.</t>
  </si>
  <si>
    <t>MOBILE</t>
  </si>
  <si>
    <t>France 2010</t>
  </si>
  <si>
    <t>Belgique 2010</t>
  </si>
  <si>
    <t>Pays-Bas 2010</t>
  </si>
  <si>
    <t>Autriche 2009</t>
  </si>
  <si>
    <t>Danemark 2009</t>
  </si>
  <si>
    <t>France 2008</t>
  </si>
  <si>
    <t>Autriche 2007</t>
  </si>
  <si>
    <t>8,07% réel</t>
  </si>
  <si>
    <t>Allemagne 2009°</t>
  </si>
  <si>
    <t>non actualisé</t>
  </si>
  <si>
    <t>Grèce 2008</t>
  </si>
  <si>
    <t>Pays-Bas 2006</t>
  </si>
  <si>
    <t>Portugal (n.d.)</t>
  </si>
  <si>
    <t xml:space="preserve">Portugal </t>
  </si>
  <si>
    <t>Espagne 2009</t>
  </si>
  <si>
    <t>(R.U. rest of BT 2009)</t>
  </si>
  <si>
    <t>R.U. BL de BT 2005</t>
  </si>
  <si>
    <t>(R.U. rest of BT 2005)</t>
  </si>
  <si>
    <t xml:space="preserve">Actuel              </t>
  </si>
  <si>
    <t>Précédent Cullen</t>
  </si>
  <si>
    <t>Ecart</t>
  </si>
  <si>
    <t>R.U. BL BT 2009</t>
  </si>
  <si>
    <t>non actualisé (depuis 04)</t>
  </si>
  <si>
    <t xml:space="preserve">Belgique </t>
  </si>
  <si>
    <t xml:space="preserve">Pays-Bas </t>
  </si>
  <si>
    <t>2010-2006</t>
  </si>
  <si>
    <t>2010-2008</t>
  </si>
  <si>
    <t>2009-2007</t>
  </si>
  <si>
    <t>2009-2008</t>
  </si>
  <si>
    <t xml:space="preserve">Danemark </t>
  </si>
  <si>
    <t>R.U. BL BT</t>
  </si>
  <si>
    <t>2009-2005</t>
  </si>
  <si>
    <t xml:space="preserve">Espagne </t>
  </si>
  <si>
    <t>Suisse 2008*</t>
  </si>
  <si>
    <t>*Taux réels : 6,22% en 2009, 6,75% en 2008. Inflation non spécifiée: estimation du taux nominal avec une hypothèse d'environ 2% en moyenne.</t>
  </si>
  <si>
    <t>Suisse *</t>
  </si>
  <si>
    <t>Allemagne 2009**</t>
  </si>
  <si>
    <t>Allemagne**</t>
  </si>
  <si>
    <t>Finlande 2008°°</t>
  </si>
  <si>
    <t>Finlande 2009***</t>
  </si>
  <si>
    <t>Finlande***</t>
  </si>
  <si>
    <t>Royaume-Uni 2010°°</t>
  </si>
  <si>
    <t>Royaume-Uni 2007°°</t>
  </si>
  <si>
    <t>°° A partir d'un taux réel central de 7,6% en 2009 (11,5% en 2007) et d'un taux d’inflation de 2,5% (2,8% en 2007)</t>
  </si>
  <si>
    <t>Espagne 2009°°°</t>
  </si>
  <si>
    <t>Finlande 2008***</t>
  </si>
  <si>
    <t>Espagne 2008°°°</t>
  </si>
  <si>
    <t>°°° Moyenne simple des taux 2009 (2008) de Telefonica Movildes 11,78% (11,64%), Vodafone 11,79% (11,95%) et FT España 11% (11,06%).</t>
  </si>
  <si>
    <t>Actuel</t>
  </si>
  <si>
    <t xml:space="preserve">Moyenne </t>
  </si>
  <si>
    <t>Royaume-Uni°°</t>
  </si>
  <si>
    <t>2010-2007</t>
  </si>
  <si>
    <t>Espagne°°°</t>
  </si>
  <si>
    <r>
      <t>Ecart entre la dernière décision post-</t>
    </r>
    <r>
      <rPr>
        <b/>
        <i/>
        <sz val="10"/>
        <rFont val="Arial"/>
        <family val="2"/>
      </rPr>
      <t xml:space="preserve">cc </t>
    </r>
    <r>
      <rPr>
        <b/>
        <sz val="10"/>
        <rFont val="Arial"/>
        <family val="2"/>
      </rPr>
      <t>et la précédente</t>
    </r>
  </si>
  <si>
    <t>**Taux réel 2009: 7,19%. Ajout du même différentiel qu'en 2007 (+1,40%) pour le taux nominal non spécifié</t>
  </si>
  <si>
    <t>ERP</t>
  </si>
  <si>
    <t>Prime de risque Belgique</t>
  </si>
  <si>
    <t>CRP</t>
  </si>
  <si>
    <t>Min</t>
  </si>
  <si>
    <t>Max</t>
  </si>
  <si>
    <t>Telenet</t>
  </si>
  <si>
    <t>Notation crédit</t>
  </si>
  <si>
    <t>A</t>
  </si>
  <si>
    <t>BBB</t>
  </si>
  <si>
    <t>B+</t>
  </si>
  <si>
    <t>BBB+</t>
  </si>
  <si>
    <t>A-</t>
  </si>
  <si>
    <t>Coûts d'émission</t>
  </si>
  <si>
    <t>f</t>
  </si>
  <si>
    <t>Hamada</t>
  </si>
  <si>
    <t>βe</t>
  </si>
  <si>
    <t>BB+</t>
  </si>
  <si>
    <t>BB-</t>
  </si>
  <si>
    <t>B</t>
  </si>
  <si>
    <t>Maturity</t>
  </si>
  <si>
    <t>3Y</t>
  </si>
  <si>
    <t>4Y</t>
  </si>
  <si>
    <t>5Y</t>
  </si>
  <si>
    <t>6Y</t>
  </si>
  <si>
    <t>7Y</t>
  </si>
  <si>
    <t>8Y</t>
  </si>
  <si>
    <t>9Y</t>
  </si>
  <si>
    <t>10Y</t>
  </si>
  <si>
    <t>11Y</t>
  </si>
  <si>
    <t>12Y</t>
  </si>
  <si>
    <t>13Y</t>
  </si>
  <si>
    <t>14Y</t>
  </si>
  <si>
    <t>15Y</t>
  </si>
  <si>
    <t>N/a</t>
  </si>
  <si>
    <t>B-</t>
  </si>
  <si>
    <t>Credit Rating</t>
  </si>
  <si>
    <t>FIXED</t>
  </si>
  <si>
    <t>High</t>
  </si>
  <si>
    <t>Low</t>
  </si>
  <si>
    <t>BBB-</t>
  </si>
  <si>
    <t>g</t>
  </si>
  <si>
    <t>1H09</t>
  </si>
  <si>
    <t xml:space="preserve">Avg. </t>
  </si>
  <si>
    <t>No</t>
  </si>
  <si>
    <t>Yes</t>
  </si>
  <si>
    <t>BIPT 2010</t>
  </si>
  <si>
    <t>Location-exploitation</t>
  </si>
  <si>
    <t>Lambda</t>
  </si>
  <si>
    <t>Values from WACC 2</t>
  </si>
  <si>
    <t>Values from WACC 1</t>
  </si>
  <si>
    <t>Values from WACC 3</t>
  </si>
  <si>
    <t>BGC</t>
  </si>
  <si>
    <t xml:space="preserve">g* </t>
  </si>
  <si>
    <t>OL</t>
  </si>
  <si>
    <t>Hamada βa</t>
  </si>
  <si>
    <t xml:space="preserve">Rating </t>
  </si>
  <si>
    <t>(Pre-tax) WACC</t>
  </si>
  <si>
    <t>Central</t>
  </si>
  <si>
    <t>En/E</t>
  </si>
  <si>
    <t>E/En</t>
  </si>
  <si>
    <t>marpij associés</t>
  </si>
  <si>
    <t>71, Faubourg St Antoine</t>
  </si>
  <si>
    <t xml:space="preserve">F-75011 Paris </t>
  </si>
  <si>
    <t>Austria</t>
  </si>
  <si>
    <t>Date</t>
  </si>
  <si>
    <t>NGA</t>
  </si>
  <si>
    <t>Ducts</t>
  </si>
  <si>
    <t>Í</t>
  </si>
  <si>
    <t>Regulator</t>
  </si>
  <si>
    <t xml:space="preserve">Country </t>
  </si>
  <si>
    <t>Germany</t>
  </si>
  <si>
    <t xml:space="preserve">Belgium </t>
  </si>
  <si>
    <t>BIPT</t>
  </si>
  <si>
    <t xml:space="preserve">Denmark </t>
  </si>
  <si>
    <t>ERST</t>
  </si>
  <si>
    <t xml:space="preserve">Spain </t>
  </si>
  <si>
    <t>CMT</t>
  </si>
  <si>
    <t xml:space="preserve">Finland </t>
  </si>
  <si>
    <t>Ficora</t>
  </si>
  <si>
    <t xml:space="preserve">France </t>
  </si>
  <si>
    <t>Arcep</t>
  </si>
  <si>
    <t xml:space="preserve">Greece </t>
  </si>
  <si>
    <t>EETT</t>
  </si>
  <si>
    <t xml:space="preserve">Ireland </t>
  </si>
  <si>
    <t>Comreg</t>
  </si>
  <si>
    <t xml:space="preserve">Italy </t>
  </si>
  <si>
    <t>Agcom</t>
  </si>
  <si>
    <t xml:space="preserve">Norway </t>
  </si>
  <si>
    <t>Netherlands</t>
  </si>
  <si>
    <t>ACM (Nera)</t>
  </si>
  <si>
    <t>Anacom</t>
  </si>
  <si>
    <t xml:space="preserve">UK </t>
  </si>
  <si>
    <t>Ofcom</t>
  </si>
  <si>
    <t xml:space="preserve">Sweden </t>
  </si>
  <si>
    <t>PTS</t>
  </si>
  <si>
    <t xml:space="preserve">Switzerland </t>
  </si>
  <si>
    <t>ComCom</t>
  </si>
  <si>
    <t>RTR</t>
  </si>
  <si>
    <t>BNetzA</t>
  </si>
  <si>
    <t>NPT</t>
  </si>
  <si>
    <t>ACM (Brattle)</t>
  </si>
  <si>
    <t>Cullen :</t>
  </si>
  <si>
    <t>6.9% - 8.3%</t>
  </si>
  <si>
    <r>
      <t xml:space="preserve">Without </t>
    </r>
    <r>
      <rPr>
        <sz val="10"/>
        <rFont val="Symbol"/>
        <family val="1"/>
        <charset val="2"/>
      </rPr>
      <t>D</t>
    </r>
    <r>
      <rPr>
        <sz val="10"/>
        <rFont val="Arial"/>
        <family val="2"/>
      </rPr>
      <t>not :</t>
    </r>
  </si>
  <si>
    <t>¬</t>
  </si>
  <si>
    <r>
      <rPr>
        <sz val="10"/>
        <rFont val="Symbol"/>
        <family val="1"/>
        <charset val="2"/>
      </rPr>
      <t>¬</t>
    </r>
    <r>
      <rPr>
        <sz val="9"/>
        <rFont val="Arial"/>
        <family val="2"/>
      </rPr>
      <t xml:space="preserve"> </t>
    </r>
    <r>
      <rPr>
        <sz val="10"/>
        <rFont val="Arial"/>
        <family val="2"/>
      </rPr>
      <t>LLU</t>
    </r>
  </si>
  <si>
    <r>
      <rPr>
        <sz val="10"/>
        <rFont val="Symbol"/>
        <family val="1"/>
        <charset val="2"/>
      </rPr>
      <t>¹</t>
    </r>
    <r>
      <rPr>
        <sz val="10"/>
        <rFont val="Arial"/>
        <family val="2"/>
      </rPr>
      <t xml:space="preserve"> Date ?</t>
    </r>
  </si>
  <si>
    <t>6.1% - 7.9%</t>
  </si>
  <si>
    <t>Undecided</t>
  </si>
  <si>
    <t>9.7% WBA</t>
  </si>
  <si>
    <t>LLU / WBA</t>
  </si>
  <si>
    <t>6.1% - 8.9%</t>
  </si>
  <si>
    <t>(= IC)</t>
  </si>
  <si>
    <t>9.3%-10.5%</t>
  </si>
  <si>
    <t>DE</t>
  </si>
  <si>
    <t>DK</t>
  </si>
  <si>
    <t>ES</t>
  </si>
  <si>
    <t>FI</t>
  </si>
  <si>
    <t>FR</t>
  </si>
  <si>
    <t>IE</t>
  </si>
  <si>
    <t>IT</t>
  </si>
  <si>
    <t>NO</t>
  </si>
  <si>
    <t>NL (Brattle)</t>
  </si>
  <si>
    <t>NL (Nera)</t>
  </si>
  <si>
    <t>PT</t>
  </si>
  <si>
    <t>UK</t>
  </si>
  <si>
    <t>SE</t>
  </si>
  <si>
    <t>Fixed</t>
  </si>
  <si>
    <t>AT</t>
  </si>
  <si>
    <t>GR</t>
  </si>
  <si>
    <t>CH</t>
  </si>
  <si>
    <t>11.6% - 13.6%</t>
  </si>
  <si>
    <t xml:space="preserve">Average : </t>
  </si>
  <si>
    <t>Median :</t>
  </si>
  <si>
    <r>
      <t xml:space="preserve">WACC </t>
    </r>
    <r>
      <rPr>
        <sz val="10"/>
        <rFont val="Arial"/>
        <family val="2"/>
      </rPr>
      <t>= (1-g)/(1-t).Ce+g.Cd</t>
    </r>
  </si>
  <si>
    <t>In FI, the NRA publishes a range it uses when assessing cost orientation of regulated products. (A separate WACC range applies to NGA.)</t>
  </si>
  <si>
    <t>In ES, a separate WACC applies to NGA. For the three leading mobile operators, WACC rates are calculated separately, ranging from 9.33% (Vodafone) to 10.48% (Telefónica Móviles).</t>
  </si>
  <si>
    <t>WACC refers to the minimum ROCE that must be achieved by a company in order to satisfy its investors (shareholders and debt holders). The regulatory WACC used in setting cost oriented prices is, however, the regulator’s estimate of what would be the cost of funds of an efficient benchmark entity, and may not necessarily reflect the actual ROCE of the regulated company.</t>
  </si>
  <si>
    <t>In the UK, BT applies a lower WACC for its copper network than for its business connectivity services.</t>
  </si>
  <si>
    <t>In DE and NL, the regulator sets a real WACC, not a nominal WACC like in other countries. For DE, the figure however shows the nominal WACC for better comparison.</t>
  </si>
  <si>
    <t>D</t>
  </si>
  <si>
    <t>g = D/(D+E)</t>
  </si>
  <si>
    <r>
      <t>WACC*</t>
    </r>
    <r>
      <rPr>
        <sz val="10"/>
        <rFont val="Arial"/>
        <family val="2"/>
      </rPr>
      <t xml:space="preserve"> = WACC - Δnot</t>
    </r>
  </si>
  <si>
    <t>D/E = g/(1-g)</t>
  </si>
  <si>
    <r>
      <rPr>
        <b/>
        <sz val="10"/>
        <rFont val="Symbol"/>
        <family val="1"/>
        <charset val="2"/>
      </rPr>
      <t>D</t>
    </r>
    <r>
      <rPr>
        <b/>
        <sz val="10"/>
        <rFont val="Arial"/>
        <family val="2"/>
      </rPr>
      <t xml:space="preserve"> FIXED </t>
    </r>
  </si>
  <si>
    <r>
      <rPr>
        <b/>
        <sz val="10"/>
        <rFont val="Symbol"/>
        <family val="1"/>
        <charset val="2"/>
      </rPr>
      <t>D</t>
    </r>
    <r>
      <rPr>
        <b/>
        <sz val="9"/>
        <rFont val="Arial"/>
        <family val="2"/>
      </rPr>
      <t xml:space="preserve"> </t>
    </r>
    <r>
      <rPr>
        <b/>
        <sz val="10"/>
        <rFont val="Arial"/>
        <family val="2"/>
      </rPr>
      <t>MOBILE</t>
    </r>
  </si>
  <si>
    <t>Rating</t>
  </si>
  <si>
    <t>Cd</t>
  </si>
  <si>
    <t>WACC</t>
  </si>
  <si>
    <t>RM = Rf+CRP+ERP</t>
  </si>
  <si>
    <t>RM</t>
  </si>
  <si>
    <t>No CRP</t>
  </si>
  <si>
    <r>
      <rPr>
        <sz val="10"/>
        <rFont val="Symbol"/>
        <family val="1"/>
        <charset val="2"/>
      </rPr>
      <t>D</t>
    </r>
    <r>
      <rPr>
        <sz val="9"/>
        <rFont val="Arial"/>
        <family val="2"/>
      </rPr>
      <t xml:space="preserve"> </t>
    </r>
    <r>
      <rPr>
        <sz val="10"/>
        <rFont val="Arial"/>
        <family val="2"/>
      </rPr>
      <t>Belg.</t>
    </r>
  </si>
  <si>
    <t>No OL</t>
  </si>
  <si>
    <t>βe = βa.(1+D/E)</t>
  </si>
  <si>
    <r>
      <t xml:space="preserve">Ce </t>
    </r>
    <r>
      <rPr>
        <sz val="10"/>
        <rFont val="Arial"/>
        <family val="2"/>
      </rPr>
      <t>= Rf+βe.ERP</t>
    </r>
  </si>
  <si>
    <r>
      <t xml:space="preserve">New term </t>
    </r>
    <r>
      <rPr>
        <sz val="10"/>
        <rFont val="Symbol"/>
        <family val="1"/>
        <charset val="2"/>
      </rPr>
      <t>l</t>
    </r>
    <r>
      <rPr>
        <sz val="10"/>
        <rFont val="Arial"/>
        <family val="2"/>
      </rPr>
      <t>.CRP</t>
    </r>
  </si>
  <si>
    <r>
      <rPr>
        <sz val="10"/>
        <color theme="0" tint="-0.499984740745262"/>
        <rFont val="Wingdings 3"/>
        <family val="1"/>
        <charset val="2"/>
      </rPr>
      <t>9</t>
    </r>
    <r>
      <rPr>
        <sz val="10"/>
        <color theme="0" tint="-0.499984740745262"/>
        <rFont val="Arial"/>
        <family val="2"/>
      </rPr>
      <t xml:space="preserve"> Without new term</t>
    </r>
  </si>
  <si>
    <r>
      <rPr>
        <sz val="10"/>
        <rFont val="Symbol"/>
        <family val="1"/>
        <charset val="2"/>
      </rPr>
      <t>D</t>
    </r>
    <r>
      <rPr>
        <sz val="10"/>
        <rFont val="Arial"/>
        <family val="2"/>
      </rPr>
      <t>not</t>
    </r>
  </si>
  <si>
    <t>Average</t>
  </si>
  <si>
    <t xml:space="preserve">REGULATORS </t>
  </si>
  <si>
    <t>Notes Marpij 2013</t>
  </si>
  <si>
    <t>Previous regulators average &amp; median rather calculated :</t>
  </si>
  <si>
    <t xml:space="preserve">Median </t>
  </si>
  <si>
    <t>° Taux réel 2009: 8,29% mobile. Ajout du même différentiel que pour le fixe 2007 (+1,40%) pour le taux nominal 2009 non spécifié (mobile n.d.)</t>
  </si>
  <si>
    <t>*** Milieu de la fourchette.                     Moyenne régulateurs hors Belgique 2008.</t>
  </si>
  <si>
    <t>***Milieu de la fourchette.                            Moyenne régulateurs hors Belgique 2008</t>
  </si>
  <si>
    <r>
      <rPr>
        <b/>
        <sz val="10"/>
        <rFont val="Symbol"/>
        <family val="1"/>
        <charset val="2"/>
      </rPr>
      <t>D</t>
    </r>
    <r>
      <rPr>
        <b/>
        <sz val="8.5"/>
        <rFont val="Arial"/>
        <family val="2"/>
      </rPr>
      <t xml:space="preserve"> </t>
    </r>
    <r>
      <rPr>
        <b/>
        <sz val="10"/>
        <rFont val="Arial"/>
        <family val="2"/>
      </rPr>
      <t>Mobile</t>
    </r>
  </si>
  <si>
    <t>WACC BIPT &amp; Cullen 2013</t>
  </si>
  <si>
    <t>Outputs</t>
  </si>
  <si>
    <t xml:space="preserve">WACC* </t>
  </si>
  <si>
    <t>For Simulations</t>
  </si>
  <si>
    <t>(Cullen 2010 Mobile)</t>
  </si>
  <si>
    <t>(Cullen 2010 Fixed)</t>
  </si>
  <si>
    <r>
      <rPr>
        <i/>
        <sz val="10"/>
        <rFont val="Arial"/>
        <family val="2"/>
      </rPr>
      <t>Without</t>
    </r>
    <r>
      <rPr>
        <sz val="10"/>
        <rFont val="Arial"/>
        <family val="2"/>
      </rPr>
      <t xml:space="preserve"> data cuts</t>
    </r>
  </si>
  <si>
    <t>Take OL into account ?</t>
  </si>
  <si>
    <t>WACC*</t>
  </si>
  <si>
    <r>
      <rPr>
        <sz val="10"/>
        <rFont val="Symbol"/>
        <family val="1"/>
        <charset val="2"/>
      </rPr>
      <t>D</t>
    </r>
    <r>
      <rPr>
        <sz val="9"/>
        <rFont val="Arial"/>
        <family val="2"/>
      </rPr>
      <t xml:space="preserve"> </t>
    </r>
    <r>
      <rPr>
        <sz val="10"/>
        <rFont val="Arial"/>
        <family val="2"/>
      </rPr>
      <t xml:space="preserve"> 2010 - 2008/2006</t>
    </r>
  </si>
  <si>
    <t>Median</t>
  </si>
  <si>
    <t xml:space="preserve">Fixed </t>
  </si>
  <si>
    <t>2008 (2006 M)</t>
  </si>
  <si>
    <t>Average :</t>
  </si>
  <si>
    <t>for WACC, not WACC*</t>
  </si>
  <si>
    <t>Previous Med. :</t>
  </si>
  <si>
    <t>incl. BIPT 2008, excl. 2010</t>
  </si>
  <si>
    <t>Since Belgium's notional discount has no equivalent in other juridictions' determinations, it is more appropriate to compare their WACC rates with BIPT's WACC, not WACC*.</t>
  </si>
  <si>
    <t>Also, in contrast with BIPT 2010, proposed value is excluded from regulators' average &amp; median WACC, whereas the previous value still in application is included.</t>
  </si>
  <si>
    <t>Fixed 2010 :</t>
  </si>
  <si>
    <r>
      <t xml:space="preserve">On BIPT 2010 benchmark </t>
    </r>
    <r>
      <rPr>
        <sz val="10"/>
        <rFont val="Symbol"/>
        <family val="1"/>
        <charset val="2"/>
      </rPr>
      <t>®</t>
    </r>
  </si>
  <si>
    <r>
      <t xml:space="preserve">BIPT's  ranking, from low to high </t>
    </r>
    <r>
      <rPr>
        <sz val="10"/>
        <rFont val="Symbol"/>
        <family val="1"/>
        <charset val="2"/>
      </rPr>
      <t>®</t>
    </r>
  </si>
  <si>
    <t>BRIO 2008 :</t>
  </si>
  <si>
    <t>Mobile 2010 :</t>
  </si>
  <si>
    <t>Mobile 2006 :</t>
  </si>
  <si>
    <t>Cullen 2010</t>
  </si>
  <si>
    <t>Cullen 2013</t>
  </si>
  <si>
    <t>5th /14</t>
  </si>
  <si>
    <t>3rd /14</t>
  </si>
  <si>
    <t>8th /14</t>
  </si>
  <si>
    <t>7th /14</t>
  </si>
  <si>
    <t>6th /16</t>
  </si>
  <si>
    <t>9th /16</t>
  </si>
  <si>
    <t>14th /16</t>
  </si>
  <si>
    <r>
      <rPr>
        <b/>
        <sz val="10"/>
        <rFont val="Symbol"/>
        <family val="1"/>
        <charset val="2"/>
      </rPr>
      <t>D</t>
    </r>
    <r>
      <rPr>
        <b/>
        <sz val="9"/>
        <rFont val="Arial"/>
        <family val="2"/>
      </rPr>
      <t xml:space="preserve"> </t>
    </r>
    <r>
      <rPr>
        <b/>
        <sz val="10"/>
        <rFont val="Arial"/>
        <family val="2"/>
      </rPr>
      <t>MOB./FIXED</t>
    </r>
  </si>
  <si>
    <t>vs. Mobile in</t>
  </si>
  <si>
    <t>Previous Avg. :</t>
  </si>
  <si>
    <r>
      <t xml:space="preserve">Idem for Mobile </t>
    </r>
    <r>
      <rPr>
        <sz val="10"/>
        <rFont val="Wingdings"/>
        <charset val="2"/>
      </rPr>
      <t>ä</t>
    </r>
  </si>
  <si>
    <t>FIXED (F)</t>
  </si>
  <si>
    <t>MOBILE (M)</t>
  </si>
  <si>
    <t>(F) - (M)</t>
  </si>
  <si>
    <t>incl.GR (4.41%)</t>
  </si>
  <si>
    <r>
      <t xml:space="preserve">° Mainly because of large </t>
    </r>
    <r>
      <rPr>
        <sz val="10"/>
        <rFont val="Symbol"/>
        <family val="1"/>
        <charset val="2"/>
      </rPr>
      <t>D</t>
    </r>
    <r>
      <rPr>
        <sz val="8.9"/>
        <rFont val="Arial"/>
        <family val="2"/>
      </rPr>
      <t xml:space="preserve"> </t>
    </r>
    <r>
      <rPr>
        <sz val="10"/>
        <rFont val="Arial"/>
        <family val="2"/>
      </rPr>
      <t>dates. Fixed in</t>
    </r>
  </si>
  <si>
    <t>BIPT 2008 :</t>
  </si>
  <si>
    <t>7th /13</t>
  </si>
  <si>
    <r>
      <rPr>
        <sz val="10"/>
        <rFont val="Symbol"/>
        <family val="1"/>
        <charset val="2"/>
      </rPr>
      <t>D</t>
    </r>
    <r>
      <rPr>
        <sz val="10"/>
        <rFont val="Arial"/>
        <family val="2"/>
      </rPr>
      <t xml:space="preserve"> 2010 :</t>
    </r>
  </si>
  <si>
    <t>Belgique 2006</t>
  </si>
  <si>
    <t>Ranking</t>
  </si>
  <si>
    <t>2nd /12</t>
  </si>
  <si>
    <t>5th /12</t>
  </si>
  <si>
    <r>
      <rPr>
        <sz val="10"/>
        <rFont val="Symbol"/>
        <family val="1"/>
        <charset val="2"/>
      </rPr>
      <t>l</t>
    </r>
    <r>
      <rPr>
        <sz val="10"/>
        <rFont val="Arial"/>
        <family val="2"/>
      </rPr>
      <t xml:space="preserve"> </t>
    </r>
    <r>
      <rPr>
        <sz val="10"/>
        <rFont val="Symbol"/>
        <family val="1"/>
        <charset val="2"/>
      </rPr>
      <t>¹</t>
    </r>
    <r>
      <rPr>
        <sz val="10"/>
        <rFont val="Arial"/>
        <family val="2"/>
      </rPr>
      <t xml:space="preserve"> βe ?</t>
    </r>
  </si>
  <si>
    <r>
      <t xml:space="preserve">We now prefer to simply show NRAs avg. </t>
    </r>
    <r>
      <rPr>
        <sz val="10"/>
        <color theme="1" tint="0.499984740745262"/>
        <rFont val="Symbol"/>
        <family val="1"/>
        <charset val="2"/>
      </rPr>
      <t xml:space="preserve">D </t>
    </r>
    <r>
      <rPr>
        <sz val="10"/>
        <color theme="1" tint="0.499984740745262"/>
        <rFont val="Arial"/>
        <family val="2"/>
      </rPr>
      <t xml:space="preserve">between current values and Cullen's 'snapshot' taken at the time of BIPT's previous determination, i.e. a </t>
    </r>
    <r>
      <rPr>
        <sz val="10"/>
        <color theme="1" tint="0.499984740745262"/>
        <rFont val="Symbol"/>
        <family val="1"/>
        <charset val="2"/>
      </rPr>
      <t>D</t>
    </r>
    <r>
      <rPr>
        <sz val="10"/>
        <color theme="1" tint="0.499984740745262"/>
        <rFont val="Arial"/>
        <family val="2"/>
      </rPr>
      <t xml:space="preserve"> on a time frame closer to BIPT's.</t>
    </r>
  </si>
  <si>
    <t>With data cuts</t>
  </si>
  <si>
    <t>FIXED IC</t>
  </si>
  <si>
    <t>IC = Fixed Interconnection</t>
  </si>
  <si>
    <t>LLU, WBA = Local Loop Unbundling and Wholesale Broadband Access, based on copper</t>
  </si>
  <si>
    <t>NGA = Network deployments based on fibre (incl. FTTH, FTTB and the fibre part of FTTC).</t>
  </si>
  <si>
    <t>Ducts = Duct access</t>
  </si>
  <si>
    <r>
      <rPr>
        <b/>
        <sz val="10"/>
        <rFont val="Arial"/>
        <family val="2"/>
      </rPr>
      <t>Nominal Pre-Tax WACC</t>
    </r>
    <r>
      <rPr>
        <sz val="10"/>
        <rFont val="Arial"/>
        <family val="2"/>
      </rPr>
      <t xml:space="preserve"> from Cullen International (see notes below)</t>
    </r>
  </si>
  <si>
    <t>Incl. BIPT 2010, excl. 2013 &amp; GR°</t>
  </si>
  <si>
    <t>TO MS WORD</t>
  </si>
  <si>
    <r>
      <rPr>
        <b/>
        <sz val="10"/>
        <color theme="0"/>
        <rFont val="Arial"/>
        <family val="2"/>
      </rPr>
      <t xml:space="preserve">WACC fixe </t>
    </r>
    <r>
      <rPr>
        <sz val="10"/>
        <color theme="0"/>
        <rFont val="Arial"/>
        <family val="2"/>
      </rPr>
      <t>nominal avant impôts</t>
    </r>
  </si>
  <si>
    <r>
      <rPr>
        <b/>
        <sz val="10"/>
        <color theme="0"/>
        <rFont val="Arial"/>
        <family val="2"/>
      </rPr>
      <t xml:space="preserve">WACC Mobile </t>
    </r>
    <r>
      <rPr>
        <sz val="10"/>
        <color theme="0"/>
        <rFont val="Arial"/>
        <family val="2"/>
      </rPr>
      <t>nominal avant impôts</t>
    </r>
  </si>
  <si>
    <t>FIXE</t>
  </si>
  <si>
    <t>Taux d’imposition</t>
  </si>
  <si>
    <t>Coût du capital propre</t>
  </si>
  <si>
    <t xml:space="preserve">Coût de la dette </t>
  </si>
  <si>
    <t xml:space="preserve">Belgacom </t>
  </si>
  <si>
    <t>Prime de risque pays</t>
  </si>
  <si>
    <t>Maturité</t>
  </si>
  <si>
    <t>Coûts de transactions</t>
  </si>
  <si>
    <t>l</t>
  </si>
  <si>
    <t>Ce</t>
  </si>
  <si>
    <t xml:space="preserve">WACC avant impôt </t>
  </si>
  <si>
    <t>Mobile 2010</t>
  </si>
  <si>
    <t>Fixe 2010</t>
  </si>
  <si>
    <t>Belg. 2010</t>
  </si>
  <si>
    <t>Mob. 2010</t>
  </si>
  <si>
    <t>Hamada equiv.</t>
  </si>
  <si>
    <r>
      <rPr>
        <sz val="10"/>
        <rFont val="Symbol"/>
        <family val="1"/>
        <charset val="2"/>
      </rPr>
      <t>D</t>
    </r>
    <r>
      <rPr>
        <sz val="10"/>
        <rFont val="Arial"/>
        <family val="2"/>
      </rPr>
      <t xml:space="preserve"> in Hamada definition</t>
    </r>
  </si>
  <si>
    <t>Avec la déduction notionnelle :</t>
  </si>
  <si>
    <t>Comparatif Européen</t>
  </si>
  <si>
    <t xml:space="preserve">WACC Fixes nominaux avant impôts en Europe </t>
  </si>
  <si>
    <t>Chronologie</t>
  </si>
  <si>
    <t>BRIO 2008</t>
  </si>
  <si>
    <t>Mobile 2006</t>
  </si>
  <si>
    <t xml:space="preserve">WACC Mobiles nominaux avant impôts en Europe </t>
  </si>
  <si>
    <t>Différentiation Fixe/Mobile</t>
  </si>
  <si>
    <t>Hors déduction notionelle</t>
  </si>
  <si>
    <t xml:space="preserve">FIXE </t>
  </si>
  <si>
    <t>Décision 2010</t>
  </si>
  <si>
    <t>7th /16</t>
  </si>
  <si>
    <t>The status of Brattle &amp; Nera's determinations for the sake of ACM (ex-Opta) is unclear. The former addresses generic SPs (Fixed, Mobile, Cable), the latter, absent from Cullen's benchmark, KPN's wholesale (Fixed) activities.</t>
  </si>
  <si>
    <t>Given the proximity (in all senses of the word) of the Dutch market, and the quality of these documents, both Fixed WACC are shown. But only NL(Brattle), with a Mobile counterpart, is considered for benchmark's avg./median.</t>
  </si>
  <si>
    <t>Ecart WACC Mobile - WACC Fixe par Régulateur</t>
  </si>
  <si>
    <t>Comparison with BIPT 2010 and other European NRAs determinations.</t>
  </si>
  <si>
    <t>Fixed WACC benchmark (in French) from BIPT 2010.</t>
  </si>
  <si>
    <t>Mobile WACC benchmark (in French) from BIPT 2010.</t>
  </si>
  <si>
    <t>OUTPUTS</t>
  </si>
  <si>
    <t>September 2013</t>
  </si>
  <si>
    <t>2013 BIPT WACC 4/4</t>
  </si>
  <si>
    <r>
      <rPr>
        <sz val="10"/>
        <rFont val="Symbol"/>
        <family val="1"/>
        <charset val="2"/>
      </rPr>
      <t>D</t>
    </r>
    <r>
      <rPr>
        <sz val="9"/>
        <rFont val="Arial"/>
        <family val="2"/>
      </rPr>
      <t xml:space="preserve"> </t>
    </r>
    <r>
      <rPr>
        <sz val="10"/>
        <rFont val="Arial"/>
        <family val="2"/>
      </rPr>
      <t xml:space="preserve"> 2013 - 2010</t>
    </r>
  </si>
  <si>
    <t>BIPT WACC 2013</t>
  </si>
  <si>
    <t>BIPT 2013 vs. 2010</t>
  </si>
  <si>
    <t>BIPT 2013</t>
  </si>
  <si>
    <t>Incl. BIPT 2010, excl. 2013</t>
  </si>
  <si>
    <r>
      <t xml:space="preserve">BIPT 2013 </t>
    </r>
    <r>
      <rPr>
        <sz val="10"/>
        <rFont val="Symbol"/>
        <family val="1"/>
        <charset val="2"/>
      </rPr>
      <t xml:space="preserve">D </t>
    </r>
    <r>
      <rPr>
        <sz val="10"/>
        <rFont val="Arial"/>
        <family val="2"/>
      </rPr>
      <t>:</t>
    </r>
  </si>
  <si>
    <r>
      <t xml:space="preserve">BIPT 2014 </t>
    </r>
    <r>
      <rPr>
        <sz val="10"/>
        <rFont val="Symbol"/>
        <family val="1"/>
        <charset val="2"/>
      </rPr>
      <t>D</t>
    </r>
    <r>
      <rPr>
        <sz val="10"/>
        <rFont val="Arial"/>
        <family val="2"/>
      </rPr>
      <t xml:space="preserve"> :</t>
    </r>
  </si>
  <si>
    <r>
      <t xml:space="preserve">BIPT 2010 </t>
    </r>
    <r>
      <rPr>
        <sz val="10"/>
        <rFont val="Symbol"/>
        <family val="1"/>
        <charset val="2"/>
      </rPr>
      <t xml:space="preserve">D </t>
    </r>
    <r>
      <rPr>
        <sz val="10"/>
        <rFont val="Arial"/>
        <family val="2"/>
      </rPr>
      <t>:</t>
    </r>
  </si>
  <si>
    <r>
      <t xml:space="preserve">BIPT 2010 </t>
    </r>
    <r>
      <rPr>
        <sz val="10"/>
        <rFont val="Symbol"/>
        <family val="1"/>
        <charset val="2"/>
      </rPr>
      <t>D</t>
    </r>
    <r>
      <rPr>
        <sz val="10"/>
        <rFont val="Arial"/>
        <family val="2"/>
      </rPr>
      <t xml:space="preserve"> :</t>
    </r>
  </si>
  <si>
    <t>Fixed 2013 :</t>
  </si>
  <si>
    <t>Mobile 2013 :</t>
  </si>
  <si>
    <r>
      <t xml:space="preserve">BIPT 2013 </t>
    </r>
    <r>
      <rPr>
        <sz val="10"/>
        <rFont val="Symbol"/>
        <family val="1"/>
        <charset val="2"/>
      </rPr>
      <t>D</t>
    </r>
    <r>
      <rPr>
        <sz val="10"/>
        <rFont val="Arial"/>
        <family val="2"/>
      </rPr>
      <t xml:space="preserve"> :</t>
    </r>
  </si>
  <si>
    <r>
      <rPr>
        <b/>
        <sz val="10"/>
        <rFont val="Symbol"/>
        <family val="1"/>
        <charset val="2"/>
      </rPr>
      <t>D</t>
    </r>
    <r>
      <rPr>
        <b/>
        <sz val="10"/>
        <rFont val="Arial"/>
        <family val="2"/>
      </rPr>
      <t xml:space="preserve"> 2013 :</t>
    </r>
  </si>
  <si>
    <t xml:space="preserve">2013 - 2010 </t>
  </si>
  <si>
    <t>WACC Conclusion</t>
  </si>
  <si>
    <t>Stakeholder's Summary Note</t>
  </si>
  <si>
    <t>Stakeholer's Note</t>
  </si>
  <si>
    <t>End of sheet</t>
  </si>
  <si>
    <t>Beta de la dette</t>
  </si>
  <si>
    <t>βd</t>
  </si>
  <si>
    <t>WACC* 2013- 2010</t>
  </si>
  <si>
    <r>
      <t xml:space="preserve">WACC avant </t>
    </r>
    <r>
      <rPr>
        <sz val="10"/>
        <rFont val="Symbol"/>
        <family val="1"/>
        <charset val="2"/>
      </rPr>
      <t>D</t>
    </r>
    <r>
      <rPr>
        <sz val="10"/>
        <rFont val="Arial"/>
        <family val="2"/>
      </rPr>
      <t>not</t>
    </r>
  </si>
  <si>
    <r>
      <t xml:space="preserve">WACC* après </t>
    </r>
    <r>
      <rPr>
        <b/>
        <sz val="10"/>
        <rFont val="Symbol"/>
        <family val="1"/>
        <charset val="2"/>
      </rPr>
      <t>D</t>
    </r>
    <r>
      <rPr>
        <b/>
        <sz val="10"/>
        <rFont val="Arial"/>
        <family val="2"/>
      </rPr>
      <t>not</t>
    </r>
  </si>
  <si>
    <t>Mob. - Fixe</t>
  </si>
  <si>
    <t>Prix sur actif net</t>
  </si>
  <si>
    <r>
      <rPr>
        <sz val="10"/>
        <rFont val="Symbol"/>
        <family val="1"/>
        <charset val="2"/>
      </rPr>
      <t>¯</t>
    </r>
    <r>
      <rPr>
        <sz val="10"/>
        <rFont val="Arial"/>
        <family val="2"/>
      </rPr>
      <t xml:space="preserve"> 1 cran</t>
    </r>
  </si>
  <si>
    <t>Levier financier</t>
  </si>
  <si>
    <t>Positions relatives des WACC IBPT parmi les valeurs actuelles et 2010 des régulateurs européens</t>
  </si>
  <si>
    <t>BB</t>
  </si>
  <si>
    <t>Credit Loss</t>
  </si>
  <si>
    <t>(Rating ranking)</t>
  </si>
  <si>
    <t>Spread</t>
  </si>
  <si>
    <t>(Maturity ranking)</t>
  </si>
  <si>
    <t>LP %d°</t>
  </si>
  <si>
    <r>
      <t xml:space="preserve">Cd° </t>
    </r>
    <r>
      <rPr>
        <sz val="10"/>
        <rFont val="Arial"/>
        <family val="2"/>
      </rPr>
      <t>(before issuance fees)</t>
    </r>
  </si>
  <si>
    <t xml:space="preserve">Avg. Cumul. Loss Rates </t>
  </si>
  <si>
    <t>(HP/Hamada βa conversion depends on set forward-looking gearing)</t>
  </si>
  <si>
    <t>Harris-Pringle βa</t>
  </si>
  <si>
    <r>
      <t>Harris-P β</t>
    </r>
    <r>
      <rPr>
        <sz val="9"/>
        <rFont val="Arial"/>
        <family val="2"/>
      </rPr>
      <t>a</t>
    </r>
  </si>
  <si>
    <t>Also from WACC 3</t>
  </si>
  <si>
    <t>8th /13</t>
  </si>
  <si>
    <r>
      <t xml:space="preserve">Remark (see Cullen 2010) : BIPT 2010 included similar graphs for NRAs </t>
    </r>
    <r>
      <rPr>
        <sz val="10"/>
        <color theme="0" tint="-0.499984740745262"/>
        <rFont val="Symbol"/>
        <family val="1"/>
        <charset val="2"/>
      </rPr>
      <t>D</t>
    </r>
    <r>
      <rPr>
        <sz val="10"/>
        <color theme="0" tint="-0.499984740745262"/>
        <rFont val="Arial"/>
        <family val="2"/>
      </rPr>
      <t xml:space="preserve"> Current-Previous WACC, Fixed &amp; Mobile, with variable validity periods. Given 2009/2010 susbtantial methodological revision, the objective of these graphs was to compare the revision impact on Belgian rates with NRAs </t>
    </r>
    <r>
      <rPr>
        <sz val="10"/>
        <color theme="0" tint="-0.499984740745262"/>
        <rFont val="Symbol"/>
        <family val="1"/>
        <charset val="2"/>
      </rPr>
      <t>D</t>
    </r>
    <r>
      <rPr>
        <sz val="10"/>
        <color theme="0" tint="-0.499984740745262"/>
        <rFont val="Arial"/>
        <family val="2"/>
      </rPr>
      <t xml:space="preserve"> between reviews (generally involving less profound changes than BIPT 2010). </t>
    </r>
  </si>
  <si>
    <t>Manuel</t>
  </si>
  <si>
    <t>d°</t>
  </si>
  <si>
    <r>
      <rPr>
        <b/>
        <sz val="10"/>
        <rFont val="Arial"/>
        <family val="2"/>
      </rPr>
      <t xml:space="preserve">Cd </t>
    </r>
    <r>
      <rPr>
        <sz val="10"/>
        <rFont val="Arial"/>
        <family val="2"/>
      </rPr>
      <t>= Rf+d°+f</t>
    </r>
  </si>
  <si>
    <t>CRP (Belgium)</t>
  </si>
  <si>
    <t>ERP (Reference Market)</t>
  </si>
  <si>
    <t>No border for formulae</t>
  </si>
  <si>
    <t>D/E</t>
  </si>
  <si>
    <t>t/(1-t).(1-g).Rnot</t>
  </si>
  <si>
    <r>
      <t xml:space="preserve">Ce </t>
    </r>
    <r>
      <rPr>
        <sz val="10"/>
        <rFont val="Arial"/>
        <family val="2"/>
      </rPr>
      <t>= Rf+</t>
    </r>
    <r>
      <rPr>
        <sz val="10"/>
        <rFont val="Symbol"/>
        <family val="1"/>
        <charset val="2"/>
      </rPr>
      <t>l.</t>
    </r>
    <r>
      <rPr>
        <sz val="10"/>
        <rFont val="Arial"/>
        <family val="2"/>
      </rPr>
      <t>CRP+βe.ERP</t>
    </r>
  </si>
  <si>
    <r>
      <t>Δnot</t>
    </r>
    <r>
      <rPr>
        <sz val="10"/>
        <rFont val="Arial"/>
        <family val="2"/>
      </rPr>
      <t xml:space="preserve"> = t/(1-t).(1-g)Rnot.En/E</t>
    </r>
  </si>
  <si>
    <r>
      <rPr>
        <b/>
        <sz val="10"/>
        <rFont val="Symbol"/>
        <family val="1"/>
        <charset val="2"/>
      </rPr>
      <t>D</t>
    </r>
    <r>
      <rPr>
        <b/>
        <sz val="10"/>
        <rFont val="Arial"/>
        <family val="2"/>
      </rPr>
      <t>not</t>
    </r>
  </si>
  <si>
    <t>Tables &amp; graphs for MS Word.</t>
  </si>
  <si>
    <t>Harris-Pringle</t>
  </si>
  <si>
    <t>» Prix sur actif net</t>
  </si>
  <si>
    <t xml:space="preserve">Hors déduction notionnelle Belgique </t>
  </si>
  <si>
    <t xml:space="preserve">* Hors proposition actuelle, et Grèce (3,9%) surtout du fait de décisions très éloignées (Fixe 04/2006, Mobile 12/2012). </t>
  </si>
  <si>
    <t xml:space="preserve">Pour la suède, écart toujours en application plutôt que :  Mobile (en attente de m-à-j) - proposition actuelle pour le Fixe (à la baisse).  
</t>
  </si>
  <si>
    <t xml:space="preserve">SIMULATION </t>
  </si>
  <si>
    <t>SIMULATION vs. 2010</t>
  </si>
  <si>
    <t>SIMULATION vs. 2013</t>
  </si>
  <si>
    <r>
      <rPr>
        <sz val="10"/>
        <rFont val="Symbol"/>
        <family val="1"/>
        <charset val="2"/>
      </rPr>
      <t>D</t>
    </r>
    <r>
      <rPr>
        <sz val="9"/>
        <rFont val="Arial"/>
        <family val="2"/>
      </rPr>
      <t xml:space="preserve"> </t>
    </r>
    <r>
      <rPr>
        <sz val="10"/>
        <rFont val="Arial"/>
        <family val="2"/>
      </rPr>
      <t>Mstar</t>
    </r>
  </si>
  <si>
    <t xml:space="preserve">OL </t>
  </si>
  <si>
    <t>RM (Belgium) = Rf+CRP+ERP</t>
  </si>
  <si>
    <t>RM (Belgium)</t>
  </si>
  <si>
    <r>
      <t xml:space="preserve">Without </t>
    </r>
    <r>
      <rPr>
        <sz val="10"/>
        <rFont val="Symbol"/>
        <family val="1"/>
        <charset val="2"/>
      </rPr>
      <t>l</t>
    </r>
    <r>
      <rPr>
        <sz val="10"/>
        <rFont val="Arial"/>
        <family val="2"/>
      </rPr>
      <t>.CRP</t>
    </r>
  </si>
  <si>
    <t>βa Hamada</t>
  </si>
  <si>
    <t>Illustrative Min/Max mid-point</t>
  </si>
  <si>
    <t>Mobile - Fixed WACC*</t>
  </si>
  <si>
    <r>
      <t xml:space="preserve">Mobile - Fixed WACC (before </t>
    </r>
    <r>
      <rPr>
        <sz val="10"/>
        <rFont val="Symbol"/>
        <family val="1"/>
        <charset val="2"/>
      </rPr>
      <t>D</t>
    </r>
    <r>
      <rPr>
        <sz val="10"/>
        <rFont val="Arial"/>
        <family val="2"/>
      </rPr>
      <t>not)</t>
    </r>
  </si>
  <si>
    <r>
      <t xml:space="preserve">Here, </t>
    </r>
    <r>
      <rPr>
        <i/>
        <sz val="10"/>
        <color theme="0" tint="-0.34998626667073579"/>
        <rFont val="Arial"/>
        <family val="2"/>
      </rPr>
      <t>symetric</t>
    </r>
    <r>
      <rPr>
        <sz val="10"/>
        <color theme="0" tint="-0.34998626667073579"/>
        <rFont val="Arial"/>
        <family val="2"/>
      </rPr>
      <t xml:space="preserve"> input ranges for : ERP, g (except Belgacom &amp; Mobistar), rating (only Mobistar's).</t>
    </r>
  </si>
  <si>
    <t>M-F WACC*</t>
  </si>
  <si>
    <t>M-F WACC</t>
  </si>
  <si>
    <r>
      <rPr>
        <b/>
        <sz val="10"/>
        <color theme="0"/>
        <rFont val="Symbol"/>
        <family val="1"/>
        <charset val="2"/>
      </rPr>
      <t>D</t>
    </r>
    <r>
      <rPr>
        <b/>
        <sz val="10"/>
        <color theme="0"/>
        <rFont val="Arial"/>
        <family val="2"/>
      </rPr>
      <t xml:space="preserve"> FIXED </t>
    </r>
  </si>
  <si>
    <r>
      <rPr>
        <b/>
        <sz val="10"/>
        <color theme="0"/>
        <rFont val="Symbol"/>
        <family val="1"/>
        <charset val="2"/>
      </rPr>
      <t>D</t>
    </r>
    <r>
      <rPr>
        <b/>
        <sz val="9"/>
        <color theme="0"/>
        <rFont val="Arial"/>
        <family val="2"/>
      </rPr>
      <t xml:space="preserve"> </t>
    </r>
    <r>
      <rPr>
        <b/>
        <sz val="10"/>
        <color theme="0"/>
        <rFont val="Arial"/>
        <family val="2"/>
      </rPr>
      <t>MOBILE</t>
    </r>
  </si>
  <si>
    <r>
      <rPr>
        <sz val="10"/>
        <rFont val="Symbol"/>
        <family val="1"/>
        <charset val="2"/>
      </rPr>
      <t>¯</t>
    </r>
    <r>
      <rPr>
        <sz val="10"/>
        <rFont val="Arial"/>
        <family val="2"/>
      </rPr>
      <t xml:space="preserve"> 2 crans</t>
    </r>
  </si>
  <si>
    <t>Taux de déduction not.</t>
  </si>
  <si>
    <t>Impact βd sur βe</t>
  </si>
  <si>
    <t>z.βd</t>
  </si>
  <si>
    <r>
      <t xml:space="preserve">Lower WACC rates primarily because of : </t>
    </r>
    <r>
      <rPr>
        <b/>
        <sz val="10"/>
        <rFont val="Arial"/>
        <family val="2"/>
      </rPr>
      <t xml:space="preserve">lower Rf </t>
    </r>
    <r>
      <rPr>
        <sz val="10"/>
        <rFont val="Arial"/>
        <family val="2"/>
      </rPr>
      <t>(in spite of the new LT adjustment), also slightly higher gearings.</t>
    </r>
  </si>
  <si>
    <r>
      <t xml:space="preserve">Reg. </t>
    </r>
    <r>
      <rPr>
        <sz val="10"/>
        <rFont val="Symbol"/>
        <family val="1"/>
        <charset val="2"/>
      </rPr>
      <t>D</t>
    </r>
    <r>
      <rPr>
        <sz val="10"/>
        <rFont val="Arial"/>
        <family val="2"/>
      </rPr>
      <t xml:space="preserve"> 2013 - 2010</t>
    </r>
  </si>
  <si>
    <t>2010 Reg. average</t>
  </si>
  <si>
    <t>2013 Reg. average</t>
  </si>
  <si>
    <r>
      <t xml:space="preserve">2013 </t>
    </r>
    <r>
      <rPr>
        <b/>
        <sz val="10"/>
        <rFont val="Symbol"/>
        <family val="1"/>
        <charset val="2"/>
      </rPr>
      <t>D</t>
    </r>
    <r>
      <rPr>
        <b/>
        <sz val="9"/>
        <rFont val="Arial"/>
        <family val="2"/>
      </rPr>
      <t xml:space="preserve"> </t>
    </r>
    <r>
      <rPr>
        <b/>
        <sz val="10"/>
        <rFont val="Arial"/>
        <family val="2"/>
      </rPr>
      <t>BIPT - Reg.</t>
    </r>
  </si>
  <si>
    <r>
      <t xml:space="preserve">2010 </t>
    </r>
    <r>
      <rPr>
        <sz val="10"/>
        <rFont val="Symbol"/>
        <family val="1"/>
        <charset val="2"/>
      </rPr>
      <t>D</t>
    </r>
    <r>
      <rPr>
        <sz val="9"/>
        <rFont val="Arial"/>
        <family val="2"/>
      </rPr>
      <t xml:space="preserve"> </t>
    </r>
    <r>
      <rPr>
        <sz val="10"/>
        <rFont val="Arial"/>
        <family val="2"/>
      </rPr>
      <t>BIPT - Reg.</t>
    </r>
  </si>
  <si>
    <t>(2 columns for easier sensitivity analysis).</t>
  </si>
  <si>
    <t>INPUTS &amp; small calculations</t>
  </si>
  <si>
    <t>An even more relevant benchmark would consist in adjusting foreign WACC to Belgium's corporate tax rate.</t>
  </si>
  <si>
    <t>Above values for the Mobile/Fixed spread are deemed more relevant (consistent) than those shown below : subtractions of values from corresponding tables (M) &amp; (F). Differences stems from the exclusion of GR, CH &amp; IE without Mobile WACC, and adjustment for SE.</t>
  </si>
  <si>
    <t>2013 BIPT INPUTS</t>
  </si>
  <si>
    <t>with cumulative parameters' Min/Max.</t>
  </si>
  <si>
    <r>
      <rPr>
        <b/>
        <sz val="10"/>
        <rFont val="Symbol"/>
        <family val="1"/>
        <charset val="2"/>
      </rPr>
      <t>®</t>
    </r>
    <r>
      <rPr>
        <b/>
        <sz val="9"/>
        <rFont val="Arial"/>
        <family val="2"/>
      </rPr>
      <t xml:space="preserve"> </t>
    </r>
    <r>
      <rPr>
        <b/>
        <sz val="10"/>
        <rFont val="Arial"/>
        <family val="2"/>
      </rPr>
      <t xml:space="preserve">Feel free to adjust framed cells </t>
    </r>
    <r>
      <rPr>
        <sz val="10"/>
        <rFont val="Arial"/>
        <family val="2"/>
      </rPr>
      <t>(to come back to the original 2013 BIPT value : copy &amp; paste a cell from the same line, except format)</t>
    </r>
  </si>
  <si>
    <r>
      <t xml:space="preserve">… As in this example </t>
    </r>
    <r>
      <rPr>
        <sz val="10"/>
        <rFont val="Arial"/>
        <family val="2"/>
      </rPr>
      <t>(with distinct gearings and En/E).</t>
    </r>
  </si>
  <si>
    <t>(Values within thick frames set equal to original sheet's inputs.)</t>
  </si>
  <si>
    <t>6. COUT DU CAPITAL</t>
  </si>
  <si>
    <t>WACC des opérateurs hypothétiques belges</t>
  </si>
  <si>
    <t>Évolution des WACC belges</t>
  </si>
  <si>
    <t>2010 - 2008/2006</t>
  </si>
  <si>
    <t>Paramètres WACC complets des opérateurs belges, 2013 &amp; 2010</t>
  </si>
  <si>
    <t>Paramètres généraux</t>
  </si>
  <si>
    <t xml:space="preserve">Évolution 2013-2010 de paramètres WACC </t>
  </si>
  <si>
    <t>E/Eb</t>
  </si>
  <si>
    <t>Beta économique (H int)</t>
  </si>
  <si>
    <t>Paramètres spécifiques</t>
  </si>
  <si>
    <t>Coût du capital</t>
  </si>
  <si>
    <t>Déduction notionnelle</t>
  </si>
  <si>
    <t xml:space="preserve">Impact baisse Rf </t>
  </si>
  <si>
    <t>(1-g)/(1-t)+g</t>
  </si>
  <si>
    <t xml:space="preserve">Poids Rf  </t>
  </si>
  <si>
    <r>
      <t>Poids.</t>
    </r>
    <r>
      <rPr>
        <sz val="10"/>
        <rFont val="Symbol"/>
        <family val="1"/>
        <charset val="2"/>
      </rPr>
      <t>D</t>
    </r>
    <r>
      <rPr>
        <sz val="10"/>
        <rFont val="Arial"/>
        <family val="2"/>
      </rPr>
      <t>Rf</t>
    </r>
  </si>
  <si>
    <t>Classements</t>
  </si>
  <si>
    <t>© MARPIJ, 2014</t>
  </si>
  <si>
    <t>Copy value</t>
  </si>
  <si>
    <r>
      <t xml:space="preserve">Add parameters weights in central Fixed &amp; Mobile 2014 WACC </t>
    </r>
    <r>
      <rPr>
        <sz val="10"/>
        <color rgb="FFFFDC6D"/>
        <rFont val="Wingdings 3"/>
        <family val="1"/>
        <charset val="2"/>
      </rPr>
      <t>=</t>
    </r>
  </si>
  <si>
    <t>Customizable WACC tables for Belgian SPs with proposed inputs from WACC 1, 2 &amp; 3 (no border for formulae).</t>
  </si>
  <si>
    <t>All this more than outweights : slightly higher ERP, ratings 1 or 2 notches lower, and the addition of a CRP for Belgium.</t>
  </si>
  <si>
    <r>
      <t xml:space="preserve">positions of BIPT's WACC among peers remain similar to the situation at the time of the 2010 review. </t>
    </r>
    <r>
      <rPr>
        <sz val="10"/>
        <rFont val="Symbol"/>
        <family val="1"/>
        <charset val="2"/>
      </rPr>
      <t>®</t>
    </r>
  </si>
  <si>
    <r>
      <t xml:space="preserve">With proposed values : lower WACC decreases </t>
    </r>
    <r>
      <rPr>
        <sz val="10"/>
        <rFont val="Symbol"/>
        <family val="1"/>
        <charset val="2"/>
      </rPr>
      <t>­</t>
    </r>
    <r>
      <rPr>
        <sz val="10"/>
        <rFont val="Arial"/>
        <family val="2"/>
      </rPr>
      <t xml:space="preserve"> than with other regulators over the same period. But relative </t>
    </r>
  </si>
  <si>
    <r>
      <t xml:space="preserve">Increased Fixed/Mobile </t>
    </r>
    <r>
      <rPr>
        <b/>
        <sz val="10"/>
        <rFont val="Arial"/>
        <family val="2"/>
      </rPr>
      <t>spread</t>
    </r>
    <r>
      <rPr>
        <sz val="10"/>
        <rFont val="Arial"/>
        <family val="2"/>
      </rPr>
      <t xml:space="preserve">, especially after </t>
    </r>
    <r>
      <rPr>
        <b/>
        <sz val="9"/>
        <rFont val="Symbol"/>
        <family val="1"/>
        <charset val="2"/>
      </rPr>
      <t>D</t>
    </r>
    <r>
      <rPr>
        <b/>
        <sz val="10"/>
        <rFont val="Arial"/>
        <family val="2"/>
      </rPr>
      <t>not</t>
    </r>
    <r>
      <rPr>
        <sz val="10"/>
        <rFont val="Arial"/>
        <family val="2"/>
      </rPr>
      <t xml:space="preserve">. Before </t>
    </r>
    <r>
      <rPr>
        <sz val="10"/>
        <rFont val="Symbol"/>
        <family val="1"/>
        <charset val="2"/>
      </rPr>
      <t>D</t>
    </r>
    <r>
      <rPr>
        <sz val="10"/>
        <rFont val="Arial"/>
        <family val="2"/>
      </rPr>
      <t>not, the slightly larger spread than in 2010 may primarily stem from the application of refined methodologies.</t>
    </r>
  </si>
  <si>
    <t>Copy of the main spreadsheet allowing free simulations &amp; sensitivity analyses (without altering the original sheet).</t>
  </si>
  <si>
    <t>In 2014 WACC BIPT, this sheet will compare finally set parameters and WACC rates with here shown preliminary values.</t>
  </si>
  <si>
    <r>
      <rPr>
        <b/>
        <sz val="10"/>
        <rFont val="Arial"/>
        <family val="2"/>
      </rPr>
      <t>BIPT</t>
    </r>
    <r>
      <rPr>
        <sz val="10"/>
        <rFont val="Arial"/>
        <family val="2"/>
      </rPr>
      <t xml:space="preserve"> before notional discount</t>
    </r>
  </si>
  <si>
    <r>
      <t>Regulators</t>
    </r>
    <r>
      <rPr>
        <sz val="10"/>
        <rFont val="Arial"/>
        <family val="2"/>
      </rPr>
      <t xml:space="preserve">, still before </t>
    </r>
    <r>
      <rPr>
        <sz val="10"/>
        <rFont val="Symbol"/>
        <family val="1"/>
        <charset val="2"/>
      </rPr>
      <t>D</t>
    </r>
    <r>
      <rPr>
        <sz val="10"/>
        <rFont val="Arial"/>
        <family val="2"/>
      </rPr>
      <t>not</t>
    </r>
  </si>
  <si>
    <r>
      <rPr>
        <b/>
        <sz val="10"/>
        <rFont val="Arial"/>
        <family val="2"/>
      </rPr>
      <t>BIPT</t>
    </r>
    <r>
      <rPr>
        <sz val="10"/>
        <rFont val="Arial"/>
        <family val="2"/>
      </rPr>
      <t xml:space="preserve"> after notional discount</t>
    </r>
  </si>
  <si>
    <r>
      <rPr>
        <b/>
        <sz val="10"/>
        <rFont val="Symbol"/>
        <family val="1"/>
        <charset val="2"/>
      </rPr>
      <t xml:space="preserve">D </t>
    </r>
    <r>
      <rPr>
        <b/>
        <sz val="10"/>
        <rFont val="Arial"/>
        <family val="2"/>
      </rPr>
      <t>M.- F.</t>
    </r>
  </si>
  <si>
    <r>
      <rPr>
        <sz val="10"/>
        <rFont val="Symbol"/>
        <family val="1"/>
        <charset val="2"/>
      </rPr>
      <t xml:space="preserve">D </t>
    </r>
    <r>
      <rPr>
        <sz val="10"/>
        <rFont val="Arial"/>
        <family val="2"/>
      </rPr>
      <t>M.- F.</t>
    </r>
  </si>
  <si>
    <t>In light orange : internal notes regarding possible minor improvements.</t>
  </si>
  <si>
    <t>Classement par WACC croissant. Ex. Fixe 2013 : 7ème valeur sur 16 en cours</t>
  </si>
  <si>
    <r>
      <t xml:space="preserve">- Incl. BIPT WACC 2008 (for Belgacom)  before </t>
    </r>
    <r>
      <rPr>
        <sz val="10"/>
        <rFont val="Symbol"/>
        <family val="1"/>
        <charset val="2"/>
      </rPr>
      <t>D</t>
    </r>
    <r>
      <rPr>
        <sz val="10"/>
        <rFont val="Arial"/>
        <family val="2"/>
      </rPr>
      <t>not :</t>
    </r>
  </si>
  <si>
    <r>
      <t xml:space="preserve">- And excl. BIPT 2010 before </t>
    </r>
    <r>
      <rPr>
        <sz val="10"/>
        <rFont val="Symbol"/>
        <family val="1"/>
        <charset val="2"/>
      </rPr>
      <t>D</t>
    </r>
    <r>
      <rPr>
        <sz val="10"/>
        <rFont val="Arial"/>
        <family val="2"/>
      </rPr>
      <t>not :</t>
    </r>
  </si>
  <si>
    <t>Note Marpij 2013</t>
  </si>
  <si>
    <r>
      <t xml:space="preserve">- Incl. BIPT WACC 2006 before </t>
    </r>
    <r>
      <rPr>
        <sz val="10"/>
        <rFont val="Symbol"/>
        <family val="1"/>
        <charset val="2"/>
      </rPr>
      <t>D</t>
    </r>
    <r>
      <rPr>
        <sz val="10"/>
        <rFont val="Arial"/>
        <family val="2"/>
      </rPr>
      <t>not :</t>
    </r>
  </si>
</sst>
</file>

<file path=xl/styles.xml><?xml version="1.0" encoding="utf-8"?>
<styleSheet xmlns="http://schemas.openxmlformats.org/spreadsheetml/2006/main">
  <numFmts count="6">
    <numFmt numFmtId="43" formatCode="_-* #,##0.00\ _€_-;\-* #,##0.00\ _€_-;_-* &quot;-&quot;??\ _€_-;_-@_-"/>
    <numFmt numFmtId="164" formatCode="0.0"/>
    <numFmt numFmtId="165" formatCode="0.0%"/>
    <numFmt numFmtId="166" formatCode="[$-809]mmmm\ yyyy;@"/>
    <numFmt numFmtId="167" formatCode="_(* #,##0_);_(* \(#,##0\);_(* &quot;-&quot;_);_(@_)"/>
    <numFmt numFmtId="168" formatCode="0.000"/>
  </numFmts>
  <fonts count="90">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b/>
      <sz val="10"/>
      <name val="Arial"/>
      <family val="2"/>
    </font>
    <font>
      <sz val="10"/>
      <color indexed="23"/>
      <name val="Arial"/>
      <family val="2"/>
    </font>
    <font>
      <sz val="8"/>
      <name val="Arial"/>
      <family val="2"/>
    </font>
    <font>
      <sz val="10"/>
      <name val="Arial"/>
      <family val="2"/>
    </font>
    <font>
      <sz val="10"/>
      <color indexed="23"/>
      <name val="Arial"/>
      <family val="2"/>
    </font>
    <font>
      <u/>
      <sz val="10"/>
      <name val="Arial"/>
      <family val="2"/>
    </font>
    <font>
      <sz val="8"/>
      <color indexed="81"/>
      <name val="Tahoma"/>
      <family val="2"/>
    </font>
    <font>
      <b/>
      <sz val="8"/>
      <color indexed="81"/>
      <name val="Tahoma"/>
      <family val="2"/>
    </font>
    <font>
      <sz val="11"/>
      <color rgb="FFFF0000"/>
      <name val="Calibri"/>
      <family val="2"/>
      <scheme val="minor"/>
    </font>
    <font>
      <u/>
      <sz val="9.35"/>
      <color theme="10"/>
      <name val="Calibri"/>
      <family val="2"/>
    </font>
    <font>
      <sz val="10"/>
      <color theme="1" tint="0.34998626667073579"/>
      <name val="Arial"/>
      <family val="2"/>
    </font>
    <font>
      <sz val="10"/>
      <color theme="1" tint="0.499984740745262"/>
      <name val="Arial"/>
      <family val="2"/>
    </font>
    <font>
      <sz val="10"/>
      <color theme="0" tint="-0.14999847407452621"/>
      <name val="Arial"/>
      <family val="2"/>
    </font>
    <font>
      <sz val="10"/>
      <color theme="0" tint="-0.499984740745262"/>
      <name val="Arial"/>
      <family val="2"/>
    </font>
    <font>
      <sz val="10"/>
      <color theme="1"/>
      <name val="Arial"/>
      <family val="2"/>
    </font>
    <font>
      <sz val="11"/>
      <name val="Calibri"/>
      <family val="2"/>
      <scheme val="minor"/>
    </font>
    <font>
      <sz val="8.5"/>
      <color rgb="FF000000"/>
      <name val="Arial"/>
      <family val="2"/>
    </font>
    <font>
      <sz val="11"/>
      <color theme="0" tint="-0.499984740745262"/>
      <name val="Calibri"/>
      <family val="2"/>
      <scheme val="minor"/>
    </font>
    <font>
      <b/>
      <sz val="10"/>
      <color theme="0"/>
      <name val="Arial"/>
      <family val="2"/>
    </font>
    <font>
      <b/>
      <sz val="10"/>
      <color theme="0" tint="-0.499984740745262"/>
      <name val="Arial"/>
      <family val="2"/>
    </font>
    <font>
      <sz val="10"/>
      <color rgb="FFFF0000"/>
      <name val="Arial"/>
      <family val="2"/>
    </font>
    <font>
      <sz val="10"/>
      <color theme="0" tint="-4.9989318521683403E-2"/>
      <name val="Arial"/>
      <family val="2"/>
    </font>
    <font>
      <sz val="10"/>
      <color theme="2" tint="-9.9978637043366805E-2"/>
      <name val="Arial"/>
      <family val="2"/>
    </font>
    <font>
      <sz val="11"/>
      <color theme="2" tint="-9.9978637043366805E-2"/>
      <name val="CMR12"/>
    </font>
    <font>
      <i/>
      <sz val="10"/>
      <name val="Arial"/>
      <family val="2"/>
    </font>
    <font>
      <b/>
      <sz val="11"/>
      <name val="Calibri"/>
      <family val="2"/>
      <scheme val="minor"/>
    </font>
    <font>
      <i/>
      <sz val="11"/>
      <name val="Calibri"/>
      <family val="2"/>
      <scheme val="minor"/>
    </font>
    <font>
      <b/>
      <i/>
      <sz val="10"/>
      <name val="Arial"/>
      <family val="2"/>
    </font>
    <font>
      <sz val="10"/>
      <color theme="0" tint="-0.34998626667073579"/>
      <name val="Arial"/>
      <family val="2"/>
    </font>
    <font>
      <sz val="10"/>
      <color rgb="FFFFC000"/>
      <name val="Arial"/>
      <family val="2"/>
    </font>
    <font>
      <i/>
      <sz val="10"/>
      <color rgb="FF7F7F7F"/>
      <name val="Arial"/>
      <family val="2"/>
    </font>
    <font>
      <sz val="10"/>
      <color rgb="FF7F7F7F"/>
      <name val="Arial"/>
      <family val="2"/>
    </font>
    <font>
      <sz val="10"/>
      <color rgb="FF0070C0"/>
      <name val="Arial"/>
      <family val="2"/>
    </font>
    <font>
      <sz val="10"/>
      <color theme="0" tint="-0.249977111117893"/>
      <name val="Arial"/>
      <family val="2"/>
    </font>
    <font>
      <b/>
      <sz val="10"/>
      <color rgb="FFFFC000"/>
      <name val="Arial"/>
      <family val="2"/>
    </font>
    <font>
      <sz val="10"/>
      <name val="Symbol"/>
      <family val="1"/>
      <charset val="2"/>
    </font>
    <font>
      <strike/>
      <sz val="10"/>
      <name val="Arial"/>
      <family val="2"/>
    </font>
    <font>
      <b/>
      <sz val="10"/>
      <color theme="0" tint="-0.249977111117893"/>
      <name val="Arial"/>
      <family val="2"/>
    </font>
    <font>
      <sz val="9"/>
      <name val="Arial"/>
      <family val="2"/>
    </font>
    <font>
      <sz val="10"/>
      <color rgb="FFA5A5A5"/>
      <name val="Arial"/>
      <family val="2"/>
    </font>
    <font>
      <sz val="10"/>
      <color theme="0"/>
      <name val="Arial"/>
      <family val="2"/>
    </font>
    <font>
      <sz val="8"/>
      <color indexed="8"/>
      <name val="Arial"/>
      <family val="2"/>
    </font>
    <font>
      <b/>
      <sz val="10"/>
      <name val="Symbol"/>
      <family val="1"/>
      <charset val="2"/>
    </font>
    <font>
      <b/>
      <sz val="9"/>
      <name val="Arial"/>
      <family val="2"/>
    </font>
    <font>
      <sz val="9"/>
      <color indexed="81"/>
      <name val="Tahoma"/>
      <family val="2"/>
    </font>
    <font>
      <sz val="10"/>
      <name val="Wingdings 2"/>
      <family val="1"/>
      <charset val="2"/>
    </font>
    <font>
      <i/>
      <sz val="10"/>
      <name val="Symbol"/>
      <family val="1"/>
      <charset val="2"/>
    </font>
    <font>
      <i/>
      <sz val="10"/>
      <color theme="0" tint="-0.249977111117893"/>
      <name val="Arial"/>
      <family val="2"/>
    </font>
    <font>
      <sz val="10"/>
      <color theme="0" tint="-0.249977111117893"/>
      <name val="Symbol"/>
      <family val="1"/>
      <charset val="2"/>
    </font>
    <font>
      <sz val="10"/>
      <color theme="0" tint="-0.499984740745262"/>
      <name val="Wingdings 3"/>
      <family val="1"/>
      <charset val="2"/>
    </font>
    <font>
      <b/>
      <u/>
      <sz val="10"/>
      <name val="Arial"/>
      <family val="2"/>
    </font>
    <font>
      <b/>
      <sz val="8.5"/>
      <name val="Arial"/>
      <family val="2"/>
    </font>
    <font>
      <sz val="8.9"/>
      <name val="Arial"/>
      <family val="2"/>
    </font>
    <font>
      <b/>
      <sz val="10"/>
      <color rgb="FFC00000"/>
      <name val="Arial"/>
      <family val="2"/>
    </font>
    <font>
      <sz val="10"/>
      <color rgb="FFC00000"/>
      <name val="Arial"/>
      <family val="2"/>
    </font>
    <font>
      <sz val="9"/>
      <color indexed="81"/>
      <name val="Symbol"/>
      <family val="1"/>
      <charset val="2"/>
    </font>
    <font>
      <sz val="10"/>
      <color rgb="FFFFD03B"/>
      <name val="Arial"/>
      <family val="2"/>
    </font>
    <font>
      <sz val="10"/>
      <name val="Wingdings"/>
      <charset val="2"/>
    </font>
    <font>
      <sz val="9"/>
      <color indexed="81"/>
      <name val="Arial"/>
      <family val="2"/>
    </font>
    <font>
      <sz val="10"/>
      <color theme="1" tint="0.499984740745262"/>
      <name val="Symbol"/>
      <family val="1"/>
      <charset val="2"/>
    </font>
    <font>
      <u/>
      <sz val="10"/>
      <color theme="10"/>
      <name val="Arial"/>
      <family val="2"/>
    </font>
    <font>
      <sz val="10"/>
      <name val="Verdana"/>
      <family val="2"/>
    </font>
    <font>
      <sz val="8"/>
      <name val="Verdana"/>
      <family val="2"/>
    </font>
    <font>
      <b/>
      <sz val="8"/>
      <name val="Verdana"/>
      <family val="2"/>
    </font>
    <font>
      <sz val="10"/>
      <color theme="0" tint="-0.499984740745262"/>
      <name val="Symbol"/>
      <family val="1"/>
      <charset val="2"/>
    </font>
    <font>
      <sz val="9"/>
      <color rgb="FFFFDB69"/>
      <name val="Arial"/>
      <family val="2"/>
    </font>
    <font>
      <sz val="10"/>
      <color rgb="FFBFBFBF"/>
      <name val="Arial"/>
      <family val="2"/>
    </font>
    <font>
      <strike/>
      <sz val="10"/>
      <color theme="0" tint="-0.499984740745262"/>
      <name val="Arial"/>
      <family val="2"/>
    </font>
    <font>
      <b/>
      <sz val="10"/>
      <color rgb="FF000000"/>
      <name val="Arial"/>
      <family val="2"/>
    </font>
    <font>
      <sz val="10"/>
      <color rgb="FF000000"/>
      <name val="Arial"/>
      <family val="2"/>
    </font>
    <font>
      <i/>
      <sz val="10"/>
      <color theme="0" tint="-0.34998626667073579"/>
      <name val="Arial"/>
      <family val="2"/>
    </font>
    <font>
      <b/>
      <sz val="10"/>
      <color theme="0" tint="-0.14999847407452621"/>
      <name val="Symbol"/>
      <family val="1"/>
      <charset val="2"/>
    </font>
    <font>
      <b/>
      <sz val="10"/>
      <color theme="0" tint="-0.14999847407452621"/>
      <name val="Arial"/>
      <family val="2"/>
    </font>
    <font>
      <b/>
      <sz val="9"/>
      <name val="Symbol"/>
      <family val="1"/>
      <charset val="2"/>
    </font>
    <font>
      <b/>
      <sz val="10"/>
      <color theme="0"/>
      <name val="Symbol"/>
      <family val="1"/>
      <charset val="2"/>
    </font>
    <font>
      <b/>
      <sz val="9"/>
      <color theme="0"/>
      <name val="Arial"/>
      <family val="2"/>
    </font>
    <font>
      <sz val="11"/>
      <name val="Arial"/>
      <family val="2"/>
    </font>
    <font>
      <b/>
      <sz val="11"/>
      <name val="Arial"/>
      <family val="2"/>
    </font>
    <font>
      <sz val="10"/>
      <color rgb="FFFFDC6D"/>
      <name val="Arial"/>
      <family val="2"/>
    </font>
    <font>
      <b/>
      <sz val="10"/>
      <color rgb="FFFFDC6D"/>
      <name val="Arial"/>
      <family val="2"/>
    </font>
    <font>
      <sz val="10"/>
      <color rgb="FFFFDC6D"/>
      <name val="Wingdings 3"/>
      <family val="1"/>
      <charset val="2"/>
    </font>
  </fonts>
  <fills count="1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6" tint="-0.499984740745262"/>
        <bgColor indexed="64"/>
      </patternFill>
    </fill>
    <fill>
      <patternFill patternType="solid">
        <fgColor theme="2" tint="-0.249977111117893"/>
        <bgColor indexed="64"/>
      </patternFill>
    </fill>
    <fill>
      <patternFill patternType="solid">
        <fgColor theme="2"/>
        <bgColor indexed="64"/>
      </patternFill>
    </fill>
    <fill>
      <patternFill patternType="solid">
        <fgColor rgb="FFFFFF99"/>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C00000"/>
        <bgColor indexed="64"/>
      </patternFill>
    </fill>
    <fill>
      <patternFill patternType="solid">
        <fgColor theme="1" tint="0.499984740745262"/>
        <bgColor indexed="64"/>
      </patternFill>
    </fill>
    <fill>
      <patternFill patternType="solid">
        <fgColor rgb="FFFFFF00"/>
        <bgColor rgb="FF000000"/>
      </patternFill>
    </fill>
    <fill>
      <patternFill patternType="solid">
        <fgColor theme="2" tint="-9.9978637043366805E-2"/>
        <bgColor indexed="64"/>
      </patternFill>
    </fill>
    <fill>
      <patternFill patternType="solid">
        <fgColor indexed="42"/>
        <bgColor indexed="64"/>
      </patternFill>
    </fill>
    <fill>
      <patternFill patternType="solid">
        <fgColor rgb="FFFFFF99"/>
        <bgColor rgb="FF000000"/>
      </patternFill>
    </fill>
  </fills>
  <borders count="6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Dashed">
        <color indexed="64"/>
      </left>
      <right style="thin">
        <color indexed="64"/>
      </right>
      <top style="mediumDashed">
        <color indexed="64"/>
      </top>
      <bottom style="thin">
        <color indexed="64"/>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style="thin">
        <color indexed="64"/>
      </top>
      <bottom style="thin">
        <color indexed="64"/>
      </bottom>
      <diagonal/>
    </border>
    <border>
      <left/>
      <right style="mediumDashed">
        <color indexed="64"/>
      </right>
      <top style="thin">
        <color indexed="64"/>
      </top>
      <bottom style="thin">
        <color indexed="64"/>
      </bottom>
      <diagonal/>
    </border>
    <border>
      <left style="mediumDashed">
        <color indexed="64"/>
      </left>
      <right/>
      <top style="thin">
        <color indexed="64"/>
      </top>
      <bottom/>
      <diagonal/>
    </border>
    <border>
      <left/>
      <right style="mediumDashed">
        <color indexed="64"/>
      </right>
      <top/>
      <bottom/>
      <diagonal/>
    </border>
    <border>
      <left style="mediumDashed">
        <color indexed="64"/>
      </left>
      <right/>
      <top/>
      <bottom/>
      <diagonal/>
    </border>
    <border>
      <left/>
      <right style="mediumDashed">
        <color indexed="64"/>
      </right>
      <top style="thin">
        <color indexed="64"/>
      </top>
      <bottom/>
      <diagonal/>
    </border>
    <border>
      <left/>
      <right style="mediumDashed">
        <color indexed="64"/>
      </right>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style="thin">
        <color indexed="64"/>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Dashed">
        <color indexed="64"/>
      </left>
      <right/>
      <top/>
      <bottom style="thin">
        <color indexed="64"/>
      </bottom>
      <diagonal/>
    </border>
    <border>
      <left style="thin">
        <color indexed="64"/>
      </left>
      <right style="mediumDashed">
        <color indexed="64"/>
      </right>
      <top style="thin">
        <color indexed="64"/>
      </top>
      <bottom/>
      <diagonal/>
    </border>
    <border>
      <left style="thin">
        <color indexed="64"/>
      </left>
      <right style="mediumDashed">
        <color indexed="64"/>
      </right>
      <top/>
      <bottom style="thin">
        <color indexed="64"/>
      </bottom>
      <diagonal/>
    </border>
    <border>
      <left style="mediumDashed">
        <color indexed="64"/>
      </left>
      <right/>
      <top style="mediumDashed">
        <color indexed="64"/>
      </top>
      <bottom/>
      <diagonal/>
    </border>
    <border>
      <left/>
      <right style="thin">
        <color indexed="64"/>
      </right>
      <top style="mediumDashed">
        <color indexed="64"/>
      </top>
      <bottom/>
      <diagonal/>
    </border>
    <border>
      <left style="thin">
        <color indexed="64"/>
      </left>
      <right/>
      <top style="mediumDashed">
        <color indexed="64"/>
      </top>
      <bottom/>
      <diagonal/>
    </border>
    <border>
      <left style="mediumDashed">
        <color indexed="64"/>
      </left>
      <right/>
      <top style="thin">
        <color indexed="64"/>
      </top>
      <bottom style="mediumDashed">
        <color indexed="64"/>
      </bottom>
      <diagonal/>
    </border>
    <border>
      <left/>
      <right/>
      <top style="thin">
        <color indexed="64"/>
      </top>
      <bottom style="mediumDashed">
        <color indexed="64"/>
      </bottom>
      <diagonal/>
    </border>
    <border>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Dashed">
        <color indexed="64"/>
      </right>
      <top style="thin">
        <color indexed="64"/>
      </top>
      <bottom style="mediumDashed">
        <color indexed="64"/>
      </bottom>
      <diagonal/>
    </border>
    <border>
      <left style="thin">
        <color indexed="64"/>
      </left>
      <right style="mediumDashed">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indexed="64"/>
      </left>
      <right/>
      <top style="thin">
        <color indexed="64"/>
      </top>
      <bottom style="thin">
        <color indexed="64"/>
      </bottom>
      <diagonal/>
    </border>
    <border>
      <left/>
      <right/>
      <top style="hair">
        <color indexed="64"/>
      </top>
      <bottom style="thin">
        <color indexed="64"/>
      </bottom>
      <diagonal/>
    </border>
    <border>
      <left style="hair">
        <color auto="1"/>
      </left>
      <right/>
      <top style="thin">
        <color indexed="64"/>
      </top>
      <bottom/>
      <diagonal/>
    </border>
    <border>
      <left style="mediumDashed">
        <color auto="1"/>
      </left>
      <right/>
      <top/>
      <bottom style="mediumDashed">
        <color auto="1"/>
      </bottom>
      <diagonal/>
    </border>
    <border>
      <left style="thin">
        <color indexed="64"/>
      </left>
      <right style="mediumDashed">
        <color indexed="64"/>
      </right>
      <top style="mediumDashed">
        <color indexed="64"/>
      </top>
      <bottom/>
      <diagonal/>
    </border>
    <border>
      <left style="thin">
        <color indexed="64"/>
      </left>
      <right style="mediumDashed">
        <color indexed="64"/>
      </right>
      <top/>
      <bottom style="mediumDashed">
        <color indexed="64"/>
      </bottom>
      <diagonal/>
    </border>
    <border>
      <left/>
      <right style="thin">
        <color indexed="64"/>
      </right>
      <top/>
      <bottom style="medium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16">
    <xf numFmtId="166" fontId="0" fillId="0" borderId="0"/>
    <xf numFmtId="166" fontId="18" fillId="0" borderId="0" applyNumberFormat="0" applyFill="0" applyBorder="0" applyAlignment="0" applyProtection="0">
      <alignment vertical="top"/>
      <protection locked="0"/>
    </xf>
    <xf numFmtId="9" fontId="8" fillId="0" borderId="0" applyFont="0" applyFill="0" applyBorder="0" applyAlignment="0" applyProtection="0"/>
    <xf numFmtId="166" fontId="7" fillId="0" borderId="0"/>
    <xf numFmtId="166" fontId="47" fillId="0" borderId="0">
      <alignment vertical="top"/>
    </xf>
    <xf numFmtId="166" fontId="8" fillId="0" borderId="0"/>
    <xf numFmtId="166" fontId="8" fillId="0" borderId="0"/>
    <xf numFmtId="166" fontId="69" fillId="0" borderId="0" applyNumberFormat="0" applyFill="0" applyBorder="0" applyAlignment="0" applyProtection="0">
      <alignment vertical="top"/>
      <protection locked="0"/>
    </xf>
    <xf numFmtId="166" fontId="8" fillId="0" borderId="0"/>
    <xf numFmtId="43" fontId="6" fillId="0" borderId="0" applyFont="0" applyFill="0" applyBorder="0" applyAlignment="0" applyProtection="0"/>
    <xf numFmtId="166" fontId="8" fillId="0" borderId="0"/>
    <xf numFmtId="9" fontId="6" fillId="0" borderId="0" applyFont="0" applyFill="0" applyBorder="0" applyAlignment="0" applyProtection="0"/>
    <xf numFmtId="166" fontId="70" fillId="0" borderId="0"/>
    <xf numFmtId="167" fontId="71" fillId="15" borderId="0" applyNumberFormat="0">
      <alignment horizontal="right"/>
    </xf>
    <xf numFmtId="166" fontId="71" fillId="15" borderId="0">
      <alignment horizontal="left" wrapText="1"/>
    </xf>
    <xf numFmtId="166" fontId="72" fillId="15" borderId="0">
      <alignment horizontal="left" wrapText="1"/>
    </xf>
  </cellStyleXfs>
  <cellXfs count="1341">
    <xf numFmtId="166" fontId="0" fillId="0" borderId="0" xfId="0"/>
    <xf numFmtId="166" fontId="9" fillId="0" borderId="0" xfId="0" applyFont="1" applyAlignment="1">
      <alignment horizontal="left"/>
    </xf>
    <xf numFmtId="166" fontId="12" fillId="0" borderId="0" xfId="0" applyFont="1" applyAlignment="1">
      <alignment horizontal="left"/>
    </xf>
    <xf numFmtId="166" fontId="12" fillId="0" borderId="0" xfId="0" applyFont="1"/>
    <xf numFmtId="166" fontId="0" fillId="0" borderId="0" xfId="0" applyAlignment="1">
      <alignment horizontal="left"/>
    </xf>
    <xf numFmtId="10" fontId="0" fillId="0" borderId="0" xfId="0" applyNumberFormat="1" applyAlignment="1">
      <alignment horizontal="left"/>
    </xf>
    <xf numFmtId="166" fontId="18" fillId="0" borderId="0" xfId="1" applyAlignment="1" applyProtection="1">
      <alignment horizontal="left"/>
    </xf>
    <xf numFmtId="10" fontId="24" fillId="0" borderId="0" xfId="0" applyNumberFormat="1" applyFont="1" applyAlignment="1">
      <alignment horizontal="left"/>
    </xf>
    <xf numFmtId="9" fontId="0" fillId="0" borderId="0" xfId="0" applyNumberFormat="1" applyAlignment="1">
      <alignment horizontal="left"/>
    </xf>
    <xf numFmtId="10" fontId="17" fillId="0" borderId="0" xfId="0" applyNumberFormat="1" applyFont="1" applyAlignment="1">
      <alignment horizontal="left"/>
    </xf>
    <xf numFmtId="166" fontId="0" fillId="0" borderId="0" xfId="0" quotePrefix="1" applyAlignment="1">
      <alignment horizontal="left"/>
    </xf>
    <xf numFmtId="166" fontId="25" fillId="0" borderId="0" xfId="0" applyFont="1" applyAlignment="1">
      <alignment horizontal="left"/>
    </xf>
    <xf numFmtId="166" fontId="26" fillId="0" borderId="0" xfId="0" applyFont="1" applyAlignment="1">
      <alignment horizontal="left"/>
    </xf>
    <xf numFmtId="10" fontId="26" fillId="0" borderId="0" xfId="0" applyNumberFormat="1" applyFont="1" applyAlignment="1">
      <alignment horizontal="left"/>
    </xf>
    <xf numFmtId="10" fontId="0" fillId="0" borderId="0" xfId="2" applyNumberFormat="1" applyFont="1" applyAlignment="1">
      <alignment horizontal="left"/>
    </xf>
    <xf numFmtId="166" fontId="12" fillId="0" borderId="0" xfId="0" applyFont="1" applyAlignment="1">
      <alignment horizontal="right"/>
    </xf>
    <xf numFmtId="10" fontId="9" fillId="0" borderId="0" xfId="0" applyNumberFormat="1" applyFont="1" applyAlignment="1">
      <alignment horizontal="left"/>
    </xf>
    <xf numFmtId="10" fontId="12" fillId="0" borderId="0" xfId="0" applyNumberFormat="1" applyFont="1" applyAlignment="1">
      <alignment horizontal="left"/>
    </xf>
    <xf numFmtId="10" fontId="33" fillId="0" borderId="0" xfId="0" applyNumberFormat="1" applyFont="1" applyAlignment="1">
      <alignment horizontal="left"/>
    </xf>
    <xf numFmtId="165" fontId="12" fillId="0" borderId="0" xfId="0" applyNumberFormat="1" applyFont="1" applyAlignment="1">
      <alignment horizontal="left"/>
    </xf>
    <xf numFmtId="9" fontId="12" fillId="0" borderId="0" xfId="0" applyNumberFormat="1" applyFont="1" applyAlignment="1">
      <alignment horizontal="left"/>
    </xf>
    <xf numFmtId="165" fontId="33" fillId="0" borderId="0" xfId="0" applyNumberFormat="1" applyFont="1" applyAlignment="1">
      <alignment horizontal="left"/>
    </xf>
    <xf numFmtId="10" fontId="34" fillId="0" borderId="0" xfId="0" applyNumberFormat="1" applyFont="1" applyAlignment="1">
      <alignment horizontal="left"/>
    </xf>
    <xf numFmtId="10" fontId="35" fillId="0" borderId="0" xfId="0" applyNumberFormat="1" applyFont="1" applyAlignment="1">
      <alignment horizontal="left"/>
    </xf>
    <xf numFmtId="166" fontId="20" fillId="0" borderId="0" xfId="0" applyFont="1" applyAlignment="1">
      <alignment horizontal="left"/>
    </xf>
    <xf numFmtId="10" fontId="20" fillId="0" borderId="0" xfId="0" applyNumberFormat="1" applyFont="1" applyAlignment="1">
      <alignment horizontal="left"/>
    </xf>
    <xf numFmtId="166" fontId="9" fillId="0" borderId="7" xfId="0" applyFont="1" applyFill="1" applyBorder="1" applyAlignment="1">
      <alignment vertical="top"/>
    </xf>
    <xf numFmtId="166" fontId="29" fillId="0" borderId="10" xfId="0" applyFont="1" applyFill="1" applyBorder="1" applyAlignment="1">
      <alignment horizontal="left" vertical="top"/>
    </xf>
    <xf numFmtId="166" fontId="12" fillId="0" borderId="10" xfId="0" applyFont="1" applyFill="1" applyBorder="1" applyAlignment="1">
      <alignment horizontal="left" vertical="top"/>
    </xf>
    <xf numFmtId="166" fontId="12" fillId="0" borderId="1" xfId="0" applyFont="1" applyFill="1" applyBorder="1" applyAlignment="1">
      <alignment horizontal="left" vertical="top"/>
    </xf>
    <xf numFmtId="166" fontId="9" fillId="0" borderId="7" xfId="0" applyFont="1" applyFill="1" applyBorder="1" applyAlignment="1">
      <alignment horizontal="left" vertical="top"/>
    </xf>
    <xf numFmtId="166" fontId="8" fillId="0" borderId="0" xfId="0" applyFont="1" applyFill="1" applyBorder="1" applyAlignment="1">
      <alignment vertical="top"/>
    </xf>
    <xf numFmtId="10" fontId="8" fillId="0" borderId="4" xfId="0" applyNumberFormat="1" applyFont="1" applyFill="1" applyBorder="1" applyAlignment="1">
      <alignment horizontal="left" vertical="top"/>
    </xf>
    <xf numFmtId="10" fontId="37" fillId="0" borderId="0" xfId="0" applyNumberFormat="1" applyFont="1" applyFill="1" applyBorder="1" applyAlignment="1">
      <alignment horizontal="left" vertical="top"/>
    </xf>
    <xf numFmtId="166" fontId="12" fillId="0" borderId="4" xfId="0" applyFont="1" applyFill="1" applyBorder="1" applyAlignment="1">
      <alignment horizontal="left" vertical="top"/>
    </xf>
    <xf numFmtId="166" fontId="12" fillId="0" borderId="0" xfId="0" applyFont="1" applyFill="1" applyBorder="1" applyAlignment="1">
      <alignment horizontal="left" vertical="top"/>
    </xf>
    <xf numFmtId="166" fontId="29" fillId="0" borderId="0" xfId="0" applyFont="1" applyFill="1" applyBorder="1" applyAlignment="1">
      <alignment horizontal="left" vertical="top"/>
    </xf>
    <xf numFmtId="166" fontId="12" fillId="0" borderId="5" xfId="0" applyFont="1" applyFill="1" applyBorder="1" applyAlignment="1">
      <alignment horizontal="left" vertical="top"/>
    </xf>
    <xf numFmtId="166" fontId="9" fillId="0" borderId="0" xfId="0" applyFont="1" applyFill="1" applyBorder="1" applyAlignment="1">
      <alignment horizontal="left" vertical="top"/>
    </xf>
    <xf numFmtId="166" fontId="9" fillId="0" borderId="0" xfId="0" applyFont="1" applyFill="1" applyBorder="1" applyAlignment="1">
      <alignment vertical="top"/>
    </xf>
    <xf numFmtId="10" fontId="8" fillId="0" borderId="0" xfId="0" applyNumberFormat="1" applyFont="1" applyFill="1" applyBorder="1" applyAlignment="1">
      <alignment horizontal="left" vertical="top"/>
    </xf>
    <xf numFmtId="166" fontId="8" fillId="0" borderId="0" xfId="0" applyFont="1" applyBorder="1" applyAlignment="1">
      <alignment vertical="top"/>
    </xf>
    <xf numFmtId="10" fontId="8" fillId="7" borderId="2" xfId="0" applyNumberFormat="1" applyFont="1" applyFill="1" applyBorder="1" applyAlignment="1">
      <alignment horizontal="left" vertical="top"/>
    </xf>
    <xf numFmtId="10" fontId="30" fillId="0" borderId="4" xfId="2" applyNumberFormat="1" applyFont="1" applyFill="1" applyBorder="1" applyAlignment="1">
      <alignment horizontal="left" vertical="top"/>
    </xf>
    <xf numFmtId="10" fontId="30" fillId="0" borderId="0" xfId="2" applyNumberFormat="1" applyFont="1" applyFill="1" applyBorder="1" applyAlignment="1">
      <alignment horizontal="left" vertical="top"/>
    </xf>
    <xf numFmtId="10" fontId="30" fillId="0" borderId="5" xfId="2" applyNumberFormat="1" applyFont="1" applyFill="1" applyBorder="1" applyAlignment="1">
      <alignment horizontal="left" vertical="top"/>
    </xf>
    <xf numFmtId="10" fontId="8" fillId="7" borderId="2" xfId="2" applyNumberFormat="1" applyFont="1" applyFill="1" applyBorder="1" applyAlignment="1">
      <alignment horizontal="left" vertical="top"/>
    </xf>
    <xf numFmtId="166" fontId="0" fillId="0" borderId="0" xfId="0" applyBorder="1" applyAlignment="1">
      <alignment horizontal="left" vertical="top"/>
    </xf>
    <xf numFmtId="166" fontId="0" fillId="0" borderId="0" xfId="0" applyBorder="1" applyAlignment="1">
      <alignment vertical="top"/>
    </xf>
    <xf numFmtId="166" fontId="8" fillId="0" borderId="0" xfId="0" applyFont="1" applyFill="1" applyBorder="1" applyAlignment="1">
      <alignment horizontal="left" vertical="top"/>
    </xf>
    <xf numFmtId="10" fontId="8" fillId="0" borderId="4" xfId="2" applyNumberFormat="1" applyFont="1" applyFill="1" applyBorder="1" applyAlignment="1">
      <alignment horizontal="left" vertical="top"/>
    </xf>
    <xf numFmtId="166" fontId="0" fillId="0" borderId="0" xfId="0" applyFill="1" applyBorder="1" applyAlignment="1">
      <alignment horizontal="left" vertical="top"/>
    </xf>
    <xf numFmtId="166" fontId="0" fillId="0" borderId="0" xfId="0" applyFill="1" applyBorder="1" applyAlignment="1">
      <alignment vertical="top"/>
    </xf>
    <xf numFmtId="165" fontId="8" fillId="0" borderId="4" xfId="0" applyNumberFormat="1" applyFont="1" applyFill="1" applyBorder="1" applyAlignment="1">
      <alignment horizontal="left" vertical="top"/>
    </xf>
    <xf numFmtId="165" fontId="8" fillId="0" borderId="0" xfId="0" applyNumberFormat="1" applyFont="1" applyFill="1" applyBorder="1" applyAlignment="1">
      <alignment horizontal="left" vertical="top"/>
    </xf>
    <xf numFmtId="165" fontId="8" fillId="0" borderId="5" xfId="0" applyNumberFormat="1" applyFont="1" applyFill="1" applyBorder="1" applyAlignment="1">
      <alignment horizontal="left" vertical="top"/>
    </xf>
    <xf numFmtId="165" fontId="9" fillId="0" borderId="4" xfId="0" applyNumberFormat="1" applyFont="1" applyFill="1" applyBorder="1" applyAlignment="1">
      <alignment horizontal="left" vertical="top"/>
    </xf>
    <xf numFmtId="10" fontId="37" fillId="0" borderId="0" xfId="2" applyNumberFormat="1" applyFont="1" applyFill="1" applyBorder="1" applyAlignment="1">
      <alignment horizontal="left" vertical="top"/>
    </xf>
    <xf numFmtId="165" fontId="8" fillId="3" borderId="2" xfId="0" applyNumberFormat="1" applyFont="1" applyFill="1" applyBorder="1" applyAlignment="1">
      <alignment horizontal="left" vertical="top"/>
    </xf>
    <xf numFmtId="10" fontId="8" fillId="3" borderId="2" xfId="2" applyNumberFormat="1" applyFont="1" applyFill="1" applyBorder="1" applyAlignment="1">
      <alignment horizontal="left" vertical="top"/>
    </xf>
    <xf numFmtId="166" fontId="20" fillId="0" borderId="0" xfId="0" applyFont="1" applyFill="1" applyBorder="1" applyAlignment="1">
      <alignment vertical="top"/>
    </xf>
    <xf numFmtId="166" fontId="20" fillId="0" borderId="0" xfId="0" applyFont="1" applyFill="1" applyBorder="1" applyAlignment="1">
      <alignment horizontal="left" vertical="top"/>
    </xf>
    <xf numFmtId="10" fontId="8" fillId="0" borderId="2" xfId="0" applyNumberFormat="1" applyFont="1" applyFill="1" applyBorder="1" applyAlignment="1">
      <alignment horizontal="left" vertical="top"/>
    </xf>
    <xf numFmtId="10" fontId="30" fillId="0" borderId="0" xfId="0" applyNumberFormat="1" applyFont="1" applyFill="1" applyBorder="1" applyAlignment="1">
      <alignment horizontal="left" vertical="top"/>
    </xf>
    <xf numFmtId="10" fontId="30" fillId="0" borderId="4" xfId="0" applyNumberFormat="1" applyFont="1" applyFill="1" applyBorder="1" applyAlignment="1">
      <alignment horizontal="left" vertical="top"/>
    </xf>
    <xf numFmtId="10" fontId="30" fillId="0" borderId="5" xfId="0" applyNumberFormat="1" applyFont="1" applyFill="1" applyBorder="1" applyAlignment="1">
      <alignment horizontal="left" vertical="top"/>
    </xf>
    <xf numFmtId="166" fontId="8" fillId="0" borderId="4" xfId="0" applyFont="1" applyFill="1" applyBorder="1" applyAlignment="1">
      <alignment horizontal="left" vertical="top"/>
    </xf>
    <xf numFmtId="166" fontId="37" fillId="0" borderId="0" xfId="0" applyFont="1" applyFill="1" applyBorder="1" applyAlignment="1">
      <alignment horizontal="left" vertical="top"/>
    </xf>
    <xf numFmtId="166" fontId="12" fillId="0" borderId="4" xfId="0" applyFont="1" applyBorder="1" applyAlignment="1">
      <alignment horizontal="left" vertical="top"/>
    </xf>
    <xf numFmtId="166" fontId="12" fillId="0" borderId="0" xfId="0" applyFont="1" applyBorder="1" applyAlignment="1">
      <alignment horizontal="left" vertical="top"/>
    </xf>
    <xf numFmtId="166" fontId="12" fillId="0" borderId="5" xfId="0" applyFont="1" applyBorder="1" applyAlignment="1">
      <alignment horizontal="left" vertical="top"/>
    </xf>
    <xf numFmtId="166" fontId="0" fillId="0" borderId="4" xfId="0" applyBorder="1" applyAlignment="1">
      <alignment horizontal="left" vertical="top"/>
    </xf>
    <xf numFmtId="166" fontId="9" fillId="2" borderId="9" xfId="0" applyFont="1" applyFill="1" applyBorder="1" applyAlignment="1">
      <alignment horizontal="left" vertical="top"/>
    </xf>
    <xf numFmtId="166" fontId="8" fillId="0" borderId="0" xfId="0" applyFont="1" applyBorder="1" applyAlignment="1">
      <alignment horizontal="left" vertical="top"/>
    </xf>
    <xf numFmtId="166" fontId="8" fillId="0" borderId="3" xfId="0" applyFont="1" applyFill="1" applyBorder="1" applyAlignment="1">
      <alignment horizontal="left" vertical="top"/>
    </xf>
    <xf numFmtId="166" fontId="21" fillId="0" borderId="0" xfId="0" applyFont="1" applyFill="1" applyBorder="1" applyAlignment="1">
      <alignment vertical="top"/>
    </xf>
    <xf numFmtId="9" fontId="8" fillId="8" borderId="2" xfId="0" applyNumberFormat="1" applyFont="1" applyFill="1" applyBorder="1" applyAlignment="1">
      <alignment horizontal="left" vertical="top"/>
    </xf>
    <xf numFmtId="9" fontId="8" fillId="3" borderId="2" xfId="0" applyNumberFormat="1" applyFont="1" applyFill="1" applyBorder="1" applyAlignment="1">
      <alignment horizontal="left" vertical="top"/>
    </xf>
    <xf numFmtId="9" fontId="8" fillId="7" borderId="2" xfId="0" applyNumberFormat="1" applyFont="1" applyFill="1" applyBorder="1" applyAlignment="1">
      <alignment horizontal="left" vertical="top"/>
    </xf>
    <xf numFmtId="9" fontId="8" fillId="0" borderId="0" xfId="0" applyNumberFormat="1" applyFont="1" applyFill="1" applyBorder="1" applyAlignment="1">
      <alignment horizontal="left" vertical="top"/>
    </xf>
    <xf numFmtId="9" fontId="12" fillId="0" borderId="4" xfId="0" applyNumberFormat="1" applyFont="1" applyFill="1" applyBorder="1" applyAlignment="1">
      <alignment horizontal="left" vertical="top"/>
    </xf>
    <xf numFmtId="165" fontId="8" fillId="7" borderId="2" xfId="0" applyNumberFormat="1" applyFont="1" applyFill="1" applyBorder="1" applyAlignment="1">
      <alignment horizontal="left" vertical="top"/>
    </xf>
    <xf numFmtId="10" fontId="8" fillId="0" borderId="0" xfId="2" applyNumberFormat="1" applyFont="1" applyFill="1" applyBorder="1" applyAlignment="1">
      <alignment horizontal="left" vertical="top"/>
    </xf>
    <xf numFmtId="10" fontId="8" fillId="0" borderId="5" xfId="2" applyNumberFormat="1" applyFont="1" applyFill="1" applyBorder="1" applyAlignment="1">
      <alignment horizontal="left" vertical="top"/>
    </xf>
    <xf numFmtId="166" fontId="12" fillId="0" borderId="0" xfId="0" applyFont="1" applyBorder="1" applyAlignment="1">
      <alignment vertical="top"/>
    </xf>
    <xf numFmtId="2" fontId="8" fillId="8" borderId="2" xfId="0" applyNumberFormat="1" applyFont="1" applyFill="1" applyBorder="1" applyAlignment="1">
      <alignment horizontal="left" vertical="top"/>
    </xf>
    <xf numFmtId="2" fontId="8" fillId="3" borderId="2" xfId="0" applyNumberFormat="1" applyFont="1" applyFill="1" applyBorder="1" applyAlignment="1">
      <alignment horizontal="left" vertical="top"/>
    </xf>
    <xf numFmtId="2" fontId="8" fillId="0" borderId="0" xfId="0" applyNumberFormat="1" applyFont="1" applyFill="1" applyBorder="1" applyAlignment="1">
      <alignment horizontal="left" vertical="top"/>
    </xf>
    <xf numFmtId="2" fontId="8" fillId="7" borderId="2" xfId="0" applyNumberFormat="1" applyFont="1" applyFill="1" applyBorder="1" applyAlignment="1">
      <alignment horizontal="left" vertical="top"/>
    </xf>
    <xf numFmtId="2" fontId="8" fillId="0" borderId="4" xfId="0" applyNumberFormat="1" applyFont="1" applyFill="1" applyBorder="1" applyAlignment="1">
      <alignment horizontal="left" vertical="top"/>
    </xf>
    <xf numFmtId="2" fontId="37" fillId="0" borderId="0" xfId="0" applyNumberFormat="1" applyFont="1" applyFill="1" applyBorder="1" applyAlignment="1">
      <alignment horizontal="left" vertical="top"/>
    </xf>
    <xf numFmtId="2" fontId="37" fillId="0" borderId="5" xfId="0" applyNumberFormat="1" applyFont="1" applyFill="1" applyBorder="1" applyAlignment="1">
      <alignment horizontal="left" vertical="top"/>
    </xf>
    <xf numFmtId="166" fontId="10" fillId="0" borderId="0" xfId="0" applyFont="1" applyBorder="1" applyAlignment="1">
      <alignment vertical="top"/>
    </xf>
    <xf numFmtId="166" fontId="10" fillId="0" borderId="0" xfId="0" applyFont="1" applyBorder="1" applyAlignment="1">
      <alignment horizontal="left" vertical="top"/>
    </xf>
    <xf numFmtId="10" fontId="37" fillId="0" borderId="0" xfId="2" quotePrefix="1" applyNumberFormat="1" applyFont="1" applyFill="1" applyBorder="1" applyAlignment="1">
      <alignment horizontal="left" vertical="top"/>
    </xf>
    <xf numFmtId="166" fontId="8" fillId="0" borderId="0" xfId="0" quotePrefix="1" applyFont="1" applyFill="1" applyBorder="1" applyAlignment="1">
      <alignment horizontal="left" vertical="top"/>
    </xf>
    <xf numFmtId="166" fontId="8" fillId="0" borderId="4" xfId="0" quotePrefix="1" applyFont="1" applyFill="1" applyBorder="1" applyAlignment="1">
      <alignment horizontal="left" vertical="top"/>
    </xf>
    <xf numFmtId="166" fontId="37" fillId="0" borderId="0" xfId="0" quotePrefix="1" applyFont="1" applyFill="1" applyBorder="1" applyAlignment="1">
      <alignment horizontal="left" vertical="top"/>
    </xf>
    <xf numFmtId="166" fontId="37" fillId="0" borderId="5" xfId="0" quotePrefix="1" applyFont="1" applyFill="1" applyBorder="1" applyAlignment="1">
      <alignment horizontal="left" vertical="top"/>
    </xf>
    <xf numFmtId="10" fontId="8" fillId="0" borderId="4" xfId="2" quotePrefix="1" applyNumberFormat="1" applyFont="1" applyFill="1" applyBorder="1" applyAlignment="1">
      <alignment horizontal="left" vertical="top"/>
    </xf>
    <xf numFmtId="10" fontId="8" fillId="0" borderId="0" xfId="2" quotePrefix="1" applyNumberFormat="1" applyFont="1" applyFill="1" applyBorder="1" applyAlignment="1">
      <alignment horizontal="left" vertical="top"/>
    </xf>
    <xf numFmtId="10" fontId="37" fillId="0" borderId="5" xfId="2" quotePrefix="1" applyNumberFormat="1" applyFont="1" applyFill="1" applyBorder="1" applyAlignment="1">
      <alignment horizontal="left" vertical="top"/>
    </xf>
    <xf numFmtId="166" fontId="13" fillId="0" borderId="0" xfId="0" applyFont="1" applyBorder="1" applyAlignment="1">
      <alignment vertical="top"/>
    </xf>
    <xf numFmtId="166" fontId="13" fillId="0" borderId="0" xfId="0" applyFont="1" applyBorder="1" applyAlignment="1">
      <alignment horizontal="left" vertical="top"/>
    </xf>
    <xf numFmtId="166" fontId="22" fillId="0" borderId="0" xfId="0" applyNumberFormat="1" applyFont="1" applyBorder="1" applyAlignment="1">
      <alignment horizontal="left" vertical="top"/>
    </xf>
    <xf numFmtId="166" fontId="22" fillId="0" borderId="0" xfId="0" applyNumberFormat="1" applyFont="1" applyFill="1" applyBorder="1" applyAlignment="1">
      <alignment horizontal="left" vertical="top"/>
    </xf>
    <xf numFmtId="2" fontId="28" fillId="0" borderId="0" xfId="0" applyNumberFormat="1" applyFont="1" applyFill="1" applyBorder="1" applyAlignment="1">
      <alignment horizontal="left" vertical="top"/>
    </xf>
    <xf numFmtId="166" fontId="9" fillId="0" borderId="0" xfId="0" applyFont="1" applyBorder="1" applyAlignment="1">
      <alignment vertical="top"/>
    </xf>
    <xf numFmtId="10" fontId="22" fillId="0" borderId="0" xfId="0" applyNumberFormat="1" applyFont="1" applyFill="1" applyBorder="1" applyAlignment="1">
      <alignment horizontal="left" vertical="top"/>
    </xf>
    <xf numFmtId="17" fontId="0" fillId="0" borderId="0" xfId="0" applyNumberFormat="1" applyFill="1" applyBorder="1" applyAlignment="1">
      <alignment horizontal="left" vertical="top"/>
    </xf>
    <xf numFmtId="10" fontId="38" fillId="0" borderId="0" xfId="2" quotePrefix="1" applyNumberFormat="1" applyFont="1" applyFill="1" applyBorder="1" applyAlignment="1">
      <alignment horizontal="left" vertical="top"/>
    </xf>
    <xf numFmtId="166" fontId="22" fillId="0" borderId="0" xfId="0" applyFont="1" applyFill="1" applyBorder="1" applyAlignment="1">
      <alignment horizontal="left" vertical="top"/>
    </xf>
    <xf numFmtId="2" fontId="22" fillId="0" borderId="0" xfId="0" applyNumberFormat="1" applyFont="1" applyFill="1" applyBorder="1" applyAlignment="1">
      <alignment horizontal="left" vertical="top"/>
    </xf>
    <xf numFmtId="166" fontId="22" fillId="0" borderId="0" xfId="0" applyFont="1" applyBorder="1" applyAlignment="1">
      <alignment vertical="top"/>
    </xf>
    <xf numFmtId="11" fontId="22" fillId="0" borderId="0" xfId="0" applyNumberFormat="1" applyFont="1" applyBorder="1" applyAlignment="1">
      <alignment horizontal="left" vertical="top"/>
    </xf>
    <xf numFmtId="11" fontId="22" fillId="0" borderId="0" xfId="0" applyNumberFormat="1" applyFont="1" applyFill="1" applyBorder="1" applyAlignment="1">
      <alignment horizontal="left" vertical="top"/>
    </xf>
    <xf numFmtId="2" fontId="8" fillId="0" borderId="0" xfId="0" quotePrefix="1" applyNumberFormat="1" applyFont="1" applyFill="1" applyBorder="1" applyAlignment="1">
      <alignment horizontal="left" vertical="top"/>
    </xf>
    <xf numFmtId="1" fontId="40" fillId="0" borderId="9" xfId="0" applyNumberFormat="1" applyFont="1" applyFill="1" applyBorder="1" applyAlignment="1">
      <alignment horizontal="left" vertical="top"/>
    </xf>
    <xf numFmtId="1" fontId="39" fillId="0" borderId="10" xfId="0" applyNumberFormat="1" applyFont="1" applyFill="1" applyBorder="1" applyAlignment="1">
      <alignment horizontal="left" vertical="top"/>
    </xf>
    <xf numFmtId="1" fontId="40" fillId="0" borderId="10" xfId="0" applyNumberFormat="1" applyFont="1" applyFill="1" applyBorder="1" applyAlignment="1">
      <alignment horizontal="left" vertical="top"/>
    </xf>
    <xf numFmtId="1" fontId="8" fillId="0" borderId="10" xfId="0" applyNumberFormat="1" applyFont="1" applyFill="1" applyBorder="1" applyAlignment="1">
      <alignment horizontal="left" vertical="top"/>
    </xf>
    <xf numFmtId="164" fontId="31" fillId="0" borderId="0" xfId="0" applyNumberFormat="1" applyFont="1" applyFill="1" applyBorder="1" applyAlignment="1">
      <alignment horizontal="left" vertical="top"/>
    </xf>
    <xf numFmtId="9" fontId="31" fillId="0" borderId="0" xfId="2" applyFont="1" applyFill="1" applyBorder="1" applyAlignment="1">
      <alignment horizontal="left" vertical="top"/>
    </xf>
    <xf numFmtId="166" fontId="31" fillId="0" borderId="0" xfId="0" applyFont="1" applyBorder="1" applyAlignment="1">
      <alignment horizontal="left" vertical="top"/>
    </xf>
    <xf numFmtId="166" fontId="8" fillId="0" borderId="0" xfId="0" applyNumberFormat="1" applyFont="1" applyFill="1" applyBorder="1" applyAlignment="1">
      <alignment horizontal="left" vertical="top"/>
    </xf>
    <xf numFmtId="1" fontId="42" fillId="0" borderId="0" xfId="0" applyNumberFormat="1" applyFont="1" applyBorder="1" applyAlignment="1">
      <alignment horizontal="left" vertical="top"/>
    </xf>
    <xf numFmtId="2" fontId="41" fillId="0" borderId="0" xfId="0" applyNumberFormat="1" applyFont="1" applyFill="1" applyBorder="1" applyAlignment="1">
      <alignment horizontal="left" vertical="top"/>
    </xf>
    <xf numFmtId="2" fontId="41" fillId="0" borderId="7" xfId="0" applyNumberFormat="1" applyFont="1" applyFill="1" applyBorder="1" applyAlignment="1">
      <alignment horizontal="left" vertical="top"/>
    </xf>
    <xf numFmtId="166" fontId="8" fillId="0" borderId="0" xfId="0" applyFont="1" applyFill="1" applyBorder="1" applyAlignment="1">
      <alignment horizontal="right" vertical="top"/>
    </xf>
    <xf numFmtId="10" fontId="8" fillId="3" borderId="2" xfId="0" applyNumberFormat="1" applyFont="1" applyFill="1" applyBorder="1" applyAlignment="1">
      <alignment horizontal="left" vertical="top"/>
    </xf>
    <xf numFmtId="10" fontId="37" fillId="0" borderId="14" xfId="2" applyNumberFormat="1" applyFont="1" applyFill="1" applyBorder="1" applyAlignment="1">
      <alignment horizontal="left" vertical="top"/>
    </xf>
    <xf numFmtId="10" fontId="37" fillId="0" borderId="5" xfId="2" applyNumberFormat="1" applyFont="1" applyFill="1" applyBorder="1" applyAlignment="1">
      <alignment horizontal="left" vertical="top"/>
    </xf>
    <xf numFmtId="166" fontId="8" fillId="0" borderId="10" xfId="0" applyFont="1" applyFill="1" applyBorder="1" applyAlignment="1">
      <alignment horizontal="left" vertical="top"/>
    </xf>
    <xf numFmtId="2" fontId="40" fillId="0" borderId="9" xfId="0" applyNumberFormat="1" applyFont="1" applyFill="1" applyBorder="1" applyAlignment="1">
      <alignment horizontal="left" vertical="top"/>
    </xf>
    <xf numFmtId="2" fontId="39" fillId="0" borderId="10" xfId="0" applyNumberFormat="1" applyFont="1" applyFill="1" applyBorder="1" applyAlignment="1">
      <alignment horizontal="left" vertical="top"/>
    </xf>
    <xf numFmtId="2" fontId="40" fillId="0" borderId="10" xfId="0" applyNumberFormat="1" applyFont="1" applyFill="1" applyBorder="1" applyAlignment="1">
      <alignment horizontal="left" vertical="top"/>
    </xf>
    <xf numFmtId="1" fontId="42" fillId="0" borderId="0" xfId="0" applyNumberFormat="1" applyFont="1" applyFill="1" applyBorder="1" applyAlignment="1">
      <alignment horizontal="left" vertical="top"/>
    </xf>
    <xf numFmtId="2" fontId="40" fillId="0" borderId="13" xfId="0" applyNumberFormat="1" applyFont="1" applyFill="1" applyBorder="1" applyAlignment="1">
      <alignment horizontal="left" vertical="top"/>
    </xf>
    <xf numFmtId="2" fontId="39" fillId="0" borderId="12" xfId="0" applyNumberFormat="1" applyFont="1" applyFill="1" applyBorder="1" applyAlignment="1">
      <alignment horizontal="left" vertical="top"/>
    </xf>
    <xf numFmtId="2" fontId="40" fillId="0" borderId="12" xfId="0" applyNumberFormat="1" applyFont="1" applyFill="1" applyBorder="1" applyAlignment="1">
      <alignment horizontal="left" vertical="top"/>
    </xf>
    <xf numFmtId="2" fontId="39" fillId="0" borderId="4" xfId="0" applyNumberFormat="1" applyFont="1" applyFill="1" applyBorder="1" applyAlignment="1">
      <alignment horizontal="left" vertical="top"/>
    </xf>
    <xf numFmtId="2" fontId="39" fillId="0" borderId="0" xfId="0" applyNumberFormat="1" applyFont="1" applyFill="1" applyBorder="1" applyAlignment="1">
      <alignment horizontal="left" vertical="top"/>
    </xf>
    <xf numFmtId="2" fontId="40" fillId="0" borderId="4" xfId="0" applyNumberFormat="1" applyFont="1" applyFill="1" applyBorder="1" applyAlignment="1">
      <alignment horizontal="left" vertical="top"/>
    </xf>
    <xf numFmtId="2" fontId="40" fillId="0" borderId="0" xfId="0" applyNumberFormat="1" applyFont="1" applyFill="1" applyBorder="1" applyAlignment="1">
      <alignment horizontal="left" vertical="top"/>
    </xf>
    <xf numFmtId="2" fontId="41" fillId="0" borderId="4" xfId="0" applyNumberFormat="1" applyFont="1" applyFill="1" applyBorder="1" applyAlignment="1">
      <alignment horizontal="left" vertical="top"/>
    </xf>
    <xf numFmtId="2" fontId="41" fillId="0" borderId="6" xfId="0" applyNumberFormat="1" applyFont="1" applyFill="1" applyBorder="1" applyAlignment="1">
      <alignment horizontal="left" vertical="top"/>
    </xf>
    <xf numFmtId="2" fontId="39" fillId="0" borderId="7" xfId="0" applyNumberFormat="1" applyFont="1" applyFill="1" applyBorder="1" applyAlignment="1">
      <alignment horizontal="left" vertical="top"/>
    </xf>
    <xf numFmtId="166" fontId="8" fillId="0" borderId="18" xfId="0" applyNumberFormat="1" applyFont="1" applyFill="1" applyBorder="1" applyAlignment="1">
      <alignment horizontal="left" vertical="top"/>
    </xf>
    <xf numFmtId="1" fontId="40" fillId="0" borderId="19" xfId="0" applyNumberFormat="1" applyFont="1" applyFill="1" applyBorder="1" applyAlignment="1">
      <alignment horizontal="left" vertical="top"/>
    </xf>
    <xf numFmtId="166" fontId="8" fillId="0" borderId="20" xfId="0" applyNumberFormat="1" applyFont="1" applyFill="1" applyBorder="1" applyAlignment="1">
      <alignment horizontal="left" vertical="top"/>
    </xf>
    <xf numFmtId="2" fontId="40" fillId="0" borderId="19" xfId="0" applyNumberFormat="1" applyFont="1" applyFill="1" applyBorder="1" applyAlignment="1">
      <alignment horizontal="left" vertical="top"/>
    </xf>
    <xf numFmtId="2" fontId="40" fillId="0" borderId="23" xfId="0" applyNumberFormat="1" applyFont="1" applyFill="1" applyBorder="1" applyAlignment="1">
      <alignment horizontal="left" vertical="top"/>
    </xf>
    <xf numFmtId="2" fontId="39" fillId="0" borderId="21" xfId="0" applyNumberFormat="1" applyFont="1" applyFill="1" applyBorder="1" applyAlignment="1">
      <alignment horizontal="left" vertical="top"/>
    </xf>
    <xf numFmtId="2" fontId="40" fillId="0" borderId="21" xfId="0" applyNumberFormat="1" applyFont="1" applyFill="1" applyBorder="1" applyAlignment="1">
      <alignment horizontal="left" vertical="top"/>
    </xf>
    <xf numFmtId="2" fontId="40" fillId="0" borderId="24" xfId="0" applyNumberFormat="1" applyFont="1" applyFill="1" applyBorder="1" applyAlignment="1">
      <alignment horizontal="left" vertical="top"/>
    </xf>
    <xf numFmtId="2" fontId="22" fillId="0" borderId="28" xfId="0" applyNumberFormat="1" applyFont="1" applyFill="1" applyBorder="1" applyAlignment="1">
      <alignment horizontal="left" vertical="top"/>
    </xf>
    <xf numFmtId="2" fontId="8" fillId="0" borderId="28" xfId="0" applyNumberFormat="1" applyFont="1" applyFill="1" applyBorder="1" applyAlignment="1">
      <alignment horizontal="left" vertical="top"/>
    </xf>
    <xf numFmtId="10" fontId="9" fillId="2" borderId="2" xfId="0" applyNumberFormat="1" applyFont="1" applyFill="1" applyBorder="1" applyAlignment="1">
      <alignment horizontal="left" vertical="top"/>
    </xf>
    <xf numFmtId="166" fontId="9" fillId="0" borderId="0" xfId="0" applyNumberFormat="1" applyFont="1" applyFill="1" applyBorder="1" applyAlignment="1">
      <alignment horizontal="left"/>
    </xf>
    <xf numFmtId="166" fontId="8" fillId="0" borderId="0" xfId="0" applyNumberFormat="1" applyFont="1" applyFill="1" applyBorder="1" applyAlignment="1">
      <alignment horizontal="left"/>
    </xf>
    <xf numFmtId="166" fontId="8" fillId="0" borderId="0" xfId="0" applyFont="1" applyFill="1" applyBorder="1" applyAlignment="1">
      <alignment horizontal="left" vertical="top"/>
    </xf>
    <xf numFmtId="2" fontId="8" fillId="0" borderId="0" xfId="0" applyNumberFormat="1" applyFont="1" applyFill="1" applyBorder="1" applyAlignment="1">
      <alignment horizontal="left" vertical="top"/>
    </xf>
    <xf numFmtId="10" fontId="8" fillId="0" borderId="2" xfId="2" applyNumberFormat="1" applyFont="1" applyFill="1" applyBorder="1" applyAlignment="1">
      <alignment horizontal="left" vertical="top"/>
    </xf>
    <xf numFmtId="2" fontId="37" fillId="0" borderId="12" xfId="0" applyNumberFormat="1" applyFont="1" applyFill="1" applyBorder="1" applyAlignment="1">
      <alignment horizontal="left" vertical="top"/>
    </xf>
    <xf numFmtId="2" fontId="37" fillId="0" borderId="14" xfId="0" applyNumberFormat="1" applyFont="1" applyFill="1" applyBorder="1" applyAlignment="1">
      <alignment horizontal="left" vertical="top"/>
    </xf>
    <xf numFmtId="166" fontId="9" fillId="9" borderId="0" xfId="0" applyFont="1" applyFill="1" applyBorder="1" applyAlignment="1">
      <alignment vertical="top"/>
    </xf>
    <xf numFmtId="166" fontId="0" fillId="9" borderId="0" xfId="0" applyFill="1" applyBorder="1" applyAlignment="1">
      <alignment vertical="top"/>
    </xf>
    <xf numFmtId="166" fontId="37" fillId="9" borderId="0" xfId="0" applyFont="1" applyFill="1" applyBorder="1" applyAlignment="1">
      <alignment horizontal="left" vertical="top"/>
    </xf>
    <xf numFmtId="166" fontId="8" fillId="0" borderId="13" xfId="0" applyFont="1" applyFill="1" applyBorder="1" applyAlignment="1">
      <alignment horizontal="left" vertical="top"/>
    </xf>
    <xf numFmtId="2" fontId="37" fillId="0" borderId="7" xfId="0" applyNumberFormat="1" applyFont="1" applyFill="1" applyBorder="1" applyAlignment="1">
      <alignment horizontal="left" vertical="top"/>
    </xf>
    <xf numFmtId="2" fontId="37" fillId="0" borderId="8" xfId="0" applyNumberFormat="1" applyFont="1" applyFill="1" applyBorder="1" applyAlignment="1">
      <alignment horizontal="left" vertical="top"/>
    </xf>
    <xf numFmtId="166" fontId="8" fillId="0" borderId="11" xfId="0" applyFont="1" applyFill="1" applyBorder="1" applyAlignment="1">
      <alignment horizontal="left" vertical="top"/>
    </xf>
    <xf numFmtId="166" fontId="8" fillId="0" borderId="14" xfId="0" applyFont="1" applyFill="1" applyBorder="1" applyAlignment="1">
      <alignment horizontal="left" vertical="top"/>
    </xf>
    <xf numFmtId="166" fontId="45" fillId="0" borderId="6" xfId="0" applyFont="1" applyFill="1" applyBorder="1" applyAlignment="1">
      <alignment horizontal="left" vertical="top"/>
    </xf>
    <xf numFmtId="2" fontId="8" fillId="0" borderId="33" xfId="0" applyNumberFormat="1" applyFont="1" applyFill="1" applyBorder="1" applyAlignment="1">
      <alignment horizontal="left" vertical="top"/>
    </xf>
    <xf numFmtId="2" fontId="37" fillId="0" borderId="16" xfId="0" applyNumberFormat="1" applyFont="1" applyFill="1" applyBorder="1" applyAlignment="1">
      <alignment horizontal="left" vertical="top"/>
    </xf>
    <xf numFmtId="2" fontId="37" fillId="0" borderId="34" xfId="0" applyNumberFormat="1" applyFont="1" applyFill="1" applyBorder="1" applyAlignment="1">
      <alignment horizontal="left" vertical="top"/>
    </xf>
    <xf numFmtId="2" fontId="8" fillId="0" borderId="35" xfId="0" applyNumberFormat="1" applyFont="1" applyFill="1" applyBorder="1" applyAlignment="1">
      <alignment horizontal="left" vertical="top"/>
    </xf>
    <xf numFmtId="2" fontId="8" fillId="0" borderId="36" xfId="0" applyNumberFormat="1" applyFont="1" applyFill="1" applyBorder="1" applyAlignment="1">
      <alignment horizontal="left" vertical="top"/>
    </xf>
    <xf numFmtId="2" fontId="8" fillId="0" borderId="39" xfId="0" applyNumberFormat="1" applyFont="1" applyFill="1" applyBorder="1" applyAlignment="1">
      <alignment horizontal="left" vertical="top"/>
    </xf>
    <xf numFmtId="9" fontId="8" fillId="0" borderId="33" xfId="2" applyFont="1" applyFill="1" applyBorder="1" applyAlignment="1">
      <alignment horizontal="left" vertical="top"/>
    </xf>
    <xf numFmtId="9" fontId="8" fillId="0" borderId="35" xfId="2" applyFont="1" applyFill="1" applyBorder="1" applyAlignment="1">
      <alignment horizontal="left" vertical="top"/>
    </xf>
    <xf numFmtId="2" fontId="37" fillId="9" borderId="0" xfId="0" applyNumberFormat="1" applyFont="1" applyFill="1" applyBorder="1" applyAlignment="1">
      <alignment horizontal="left" vertical="top"/>
    </xf>
    <xf numFmtId="166" fontId="8" fillId="9" borderId="13" xfId="0" applyFont="1" applyFill="1" applyBorder="1" applyAlignment="1">
      <alignment horizontal="left" vertical="top"/>
    </xf>
    <xf numFmtId="166" fontId="8" fillId="9" borderId="0" xfId="0" applyFont="1" applyFill="1" applyBorder="1" applyAlignment="1">
      <alignment horizontal="left" vertical="top"/>
    </xf>
    <xf numFmtId="2" fontId="8" fillId="9" borderId="4" xfId="0" applyNumberFormat="1" applyFont="1" applyFill="1" applyBorder="1" applyAlignment="1">
      <alignment horizontal="left" vertical="top"/>
    </xf>
    <xf numFmtId="2" fontId="8" fillId="9" borderId="0" xfId="0" applyNumberFormat="1" applyFont="1" applyFill="1" applyBorder="1" applyAlignment="1">
      <alignment horizontal="left" vertical="top"/>
    </xf>
    <xf numFmtId="166" fontId="0" fillId="9" borderId="19" xfId="0" applyFill="1" applyBorder="1" applyAlignment="1">
      <alignment vertical="top"/>
    </xf>
    <xf numFmtId="166" fontId="0" fillId="9" borderId="21" xfId="0" applyFill="1" applyBorder="1" applyAlignment="1">
      <alignment vertical="top"/>
    </xf>
    <xf numFmtId="166" fontId="0" fillId="9" borderId="23" xfId="0" applyFill="1" applyBorder="1" applyAlignment="1">
      <alignment vertical="top"/>
    </xf>
    <xf numFmtId="2" fontId="8" fillId="9" borderId="31" xfId="0" applyNumberFormat="1" applyFont="1" applyFill="1" applyBorder="1" applyAlignment="1">
      <alignment horizontal="left" vertical="top"/>
    </xf>
    <xf numFmtId="2" fontId="33" fillId="9" borderId="41" xfId="0" applyNumberFormat="1" applyFont="1" applyFill="1" applyBorder="1" applyAlignment="1">
      <alignment horizontal="left" vertical="top"/>
    </xf>
    <xf numFmtId="2" fontId="8" fillId="9" borderId="41" xfId="0" applyNumberFormat="1" applyFont="1" applyFill="1" applyBorder="1" applyAlignment="1">
      <alignment horizontal="left" vertical="top"/>
    </xf>
    <xf numFmtId="2" fontId="41" fillId="9" borderId="41" xfId="0" applyNumberFormat="1" applyFont="1" applyFill="1" applyBorder="1" applyAlignment="1">
      <alignment horizontal="left" vertical="top"/>
    </xf>
    <xf numFmtId="2" fontId="41" fillId="9" borderId="32" xfId="0" applyNumberFormat="1" applyFont="1" applyFill="1" applyBorder="1" applyAlignment="1">
      <alignment horizontal="left" vertical="top"/>
    </xf>
    <xf numFmtId="166" fontId="8" fillId="9" borderId="4" xfId="0" applyFont="1" applyFill="1" applyBorder="1" applyAlignment="1">
      <alignment horizontal="left" vertical="top"/>
    </xf>
    <xf numFmtId="166" fontId="8" fillId="9" borderId="9" xfId="0" applyFont="1" applyFill="1" applyBorder="1" applyAlignment="1">
      <alignment horizontal="left" vertical="top"/>
    </xf>
    <xf numFmtId="166" fontId="8" fillId="9" borderId="10" xfId="0" applyFont="1" applyFill="1" applyBorder="1" applyAlignment="1">
      <alignment horizontal="left" vertical="top"/>
    </xf>
    <xf numFmtId="166" fontId="8" fillId="9" borderId="0" xfId="0" applyFont="1" applyFill="1" applyBorder="1" applyAlignment="1">
      <alignment horizontal="right" vertical="top"/>
    </xf>
    <xf numFmtId="166" fontId="45" fillId="9" borderId="6" xfId="0" applyFont="1" applyFill="1" applyBorder="1" applyAlignment="1">
      <alignment horizontal="left" vertical="top"/>
    </xf>
    <xf numFmtId="166" fontId="8" fillId="9" borderId="10" xfId="0" applyFont="1" applyFill="1" applyBorder="1" applyAlignment="1">
      <alignment horizontal="right" vertical="top"/>
    </xf>
    <xf numFmtId="10" fontId="8" fillId="8" borderId="2" xfId="2" applyNumberFormat="1" applyFont="1" applyFill="1" applyBorder="1" applyAlignment="1">
      <alignment horizontal="left" vertical="top"/>
    </xf>
    <xf numFmtId="166" fontId="42" fillId="0" borderId="0" xfId="0" applyFont="1" applyFill="1" applyBorder="1" applyAlignment="1">
      <alignment horizontal="left" vertical="top"/>
    </xf>
    <xf numFmtId="166" fontId="42" fillId="0" borderId="0" xfId="0" applyFont="1" applyBorder="1" applyAlignment="1">
      <alignment horizontal="left" vertical="top"/>
    </xf>
    <xf numFmtId="11" fontId="42" fillId="0" borderId="0" xfId="0" applyNumberFormat="1" applyFont="1" applyBorder="1" applyAlignment="1">
      <alignment horizontal="left" vertical="top"/>
    </xf>
    <xf numFmtId="11" fontId="42" fillId="0" borderId="0" xfId="0" applyNumberFormat="1" applyFont="1" applyFill="1" applyBorder="1" applyAlignment="1">
      <alignment horizontal="left" vertical="top"/>
    </xf>
    <xf numFmtId="9" fontId="42" fillId="0" borderId="0" xfId="2" applyFont="1" applyBorder="1" applyAlignment="1">
      <alignment horizontal="left" vertical="top"/>
    </xf>
    <xf numFmtId="166" fontId="42" fillId="0" borderId="0" xfId="0" applyFont="1" applyBorder="1" applyAlignment="1">
      <alignment vertical="top"/>
    </xf>
    <xf numFmtId="9" fontId="42" fillId="0" borderId="0" xfId="2" applyFont="1" applyFill="1" applyBorder="1" applyAlignment="1">
      <alignment horizontal="left" vertical="top"/>
    </xf>
    <xf numFmtId="166" fontId="46" fillId="0" borderId="0" xfId="0" applyFont="1" applyBorder="1" applyAlignment="1">
      <alignment horizontal="left" vertical="top"/>
    </xf>
    <xf numFmtId="166" fontId="9" fillId="9" borderId="10" xfId="0" applyFont="1" applyFill="1" applyBorder="1" applyAlignment="1">
      <alignment vertical="top"/>
    </xf>
    <xf numFmtId="2" fontId="9" fillId="9" borderId="12" xfId="0" applyNumberFormat="1" applyFont="1" applyFill="1" applyBorder="1" applyAlignment="1">
      <alignment horizontal="left" vertical="top"/>
    </xf>
    <xf numFmtId="2" fontId="9" fillId="9" borderId="7" xfId="0" applyNumberFormat="1" applyFont="1" applyFill="1" applyBorder="1" applyAlignment="1">
      <alignment horizontal="left" vertical="top"/>
    </xf>
    <xf numFmtId="2" fontId="9" fillId="9" borderId="0" xfId="0" applyNumberFormat="1" applyFont="1" applyFill="1" applyBorder="1" applyAlignment="1">
      <alignment horizontal="left" vertical="top"/>
    </xf>
    <xf numFmtId="2" fontId="9" fillId="9" borderId="10" xfId="0" applyNumberFormat="1" applyFont="1" applyFill="1" applyBorder="1" applyAlignment="1">
      <alignment horizontal="left" vertical="top"/>
    </xf>
    <xf numFmtId="166" fontId="8" fillId="9" borderId="12" xfId="0" applyFont="1" applyFill="1" applyBorder="1" applyAlignment="1">
      <alignment horizontal="left" vertical="top"/>
    </xf>
    <xf numFmtId="166" fontId="9" fillId="9" borderId="14" xfId="0" applyFont="1" applyFill="1" applyBorder="1" applyAlignment="1">
      <alignment horizontal="left" vertical="top"/>
    </xf>
    <xf numFmtId="166" fontId="8" fillId="9" borderId="8" xfId="0" applyFont="1" applyFill="1" applyBorder="1" applyAlignment="1">
      <alignment horizontal="left" vertical="top"/>
    </xf>
    <xf numFmtId="166" fontId="9" fillId="9" borderId="10" xfId="0" applyFont="1" applyFill="1" applyBorder="1" applyAlignment="1">
      <alignment horizontal="left" vertical="top"/>
    </xf>
    <xf numFmtId="166" fontId="9" fillId="9" borderId="5" xfId="0" applyFont="1" applyFill="1" applyBorder="1" applyAlignment="1">
      <alignment horizontal="left" vertical="top"/>
    </xf>
    <xf numFmtId="166" fontId="9" fillId="0" borderId="11" xfId="0" applyFont="1" applyFill="1" applyBorder="1" applyAlignment="1">
      <alignment vertical="top"/>
    </xf>
    <xf numFmtId="166" fontId="8" fillId="0" borderId="3" xfId="0" applyFont="1" applyFill="1" applyBorder="1" applyAlignment="1">
      <alignment vertical="top"/>
    </xf>
    <xf numFmtId="166" fontId="8" fillId="0" borderId="3" xfId="0" applyFont="1" applyBorder="1" applyAlignment="1">
      <alignment vertical="top"/>
    </xf>
    <xf numFmtId="166" fontId="20" fillId="0" borderId="3" xfId="0" applyFont="1" applyFill="1" applyBorder="1" applyAlignment="1">
      <alignment vertical="top"/>
    </xf>
    <xf numFmtId="166" fontId="21" fillId="0" borderId="3" xfId="0" applyFont="1" applyFill="1" applyBorder="1" applyAlignment="1">
      <alignment vertical="top"/>
    </xf>
    <xf numFmtId="166" fontId="8" fillId="0" borderId="3" xfId="0" applyFont="1" applyBorder="1" applyAlignment="1">
      <alignment horizontal="left" vertical="top"/>
    </xf>
    <xf numFmtId="166" fontId="9" fillId="0" borderId="3" xfId="0" applyFont="1" applyBorder="1" applyAlignment="1">
      <alignment horizontal="left" vertical="top"/>
    </xf>
    <xf numFmtId="166" fontId="19" fillId="0" borderId="3" xfId="0" applyFont="1" applyFill="1" applyBorder="1" applyAlignment="1">
      <alignment horizontal="left" vertical="top"/>
    </xf>
    <xf numFmtId="166" fontId="19" fillId="0" borderId="3" xfId="0" applyFont="1" applyBorder="1" applyAlignment="1">
      <alignment vertical="top"/>
    </xf>
    <xf numFmtId="166" fontId="9" fillId="0" borderId="2" xfId="0" applyFont="1" applyBorder="1" applyAlignment="1">
      <alignment vertical="top"/>
    </xf>
    <xf numFmtId="166" fontId="0" fillId="0" borderId="3" xfId="0" applyFill="1" applyBorder="1" applyAlignment="1">
      <alignment vertical="top"/>
    </xf>
    <xf numFmtId="166" fontId="22" fillId="0" borderId="3" xfId="0" applyFont="1" applyFill="1" applyBorder="1" applyAlignment="1">
      <alignment horizontal="left" vertical="top"/>
    </xf>
    <xf numFmtId="166" fontId="22" fillId="0" borderId="3" xfId="0" applyFont="1" applyBorder="1" applyAlignment="1">
      <alignment vertical="top"/>
    </xf>
    <xf numFmtId="2" fontId="37" fillId="0" borderId="13" xfId="0" applyNumberFormat="1" applyFont="1" applyFill="1" applyBorder="1" applyAlignment="1">
      <alignment horizontal="left" vertical="top"/>
    </xf>
    <xf numFmtId="2" fontId="37" fillId="0" borderId="6" xfId="0" applyNumberFormat="1" applyFont="1" applyFill="1" applyBorder="1" applyAlignment="1">
      <alignment horizontal="left" vertical="top"/>
    </xf>
    <xf numFmtId="166" fontId="9" fillId="9" borderId="0" xfId="0" applyFont="1" applyFill="1" applyBorder="1" applyAlignment="1">
      <alignment horizontal="left" vertical="top"/>
    </xf>
    <xf numFmtId="166" fontId="8" fillId="9" borderId="14" xfId="0" applyFont="1" applyFill="1" applyBorder="1" applyAlignment="1">
      <alignment horizontal="left" vertical="top"/>
    </xf>
    <xf numFmtId="166" fontId="0" fillId="12" borderId="0" xfId="0" applyFill="1"/>
    <xf numFmtId="166" fontId="9" fillId="0" borderId="0" xfId="0" applyFont="1" applyFill="1"/>
    <xf numFmtId="166" fontId="0" fillId="0" borderId="0" xfId="0" applyFill="1"/>
    <xf numFmtId="166" fontId="9" fillId="0" borderId="0" xfId="0" applyFont="1" applyFill="1" applyAlignment="1">
      <alignment horizontal="left"/>
    </xf>
    <xf numFmtId="166" fontId="8" fillId="0" borderId="0" xfId="0" applyFont="1" applyAlignment="1">
      <alignment horizontal="left"/>
    </xf>
    <xf numFmtId="2" fontId="48" fillId="0" borderId="37" xfId="0" applyNumberFormat="1" applyFont="1" applyFill="1" applyBorder="1" applyAlignment="1">
      <alignment horizontal="left" vertical="top"/>
    </xf>
    <xf numFmtId="2" fontId="48" fillId="0" borderId="38" xfId="0" applyNumberFormat="1" applyFont="1" applyFill="1" applyBorder="1" applyAlignment="1">
      <alignment horizontal="left" vertical="top"/>
    </xf>
    <xf numFmtId="2" fontId="8" fillId="13" borderId="39" xfId="0" applyNumberFormat="1" applyFont="1" applyFill="1" applyBorder="1" applyAlignment="1">
      <alignment horizontal="left" vertical="top"/>
    </xf>
    <xf numFmtId="166" fontId="9" fillId="0" borderId="0" xfId="0" quotePrefix="1" applyFont="1" applyFill="1" applyBorder="1" applyAlignment="1">
      <alignment horizontal="left" vertical="top"/>
    </xf>
    <xf numFmtId="2" fontId="9" fillId="9" borderId="4" xfId="0" applyNumberFormat="1" applyFont="1" applyFill="1" applyBorder="1" applyAlignment="1">
      <alignment horizontal="left" vertical="top"/>
    </xf>
    <xf numFmtId="166" fontId="8" fillId="9" borderId="0" xfId="0" applyFont="1" applyFill="1" applyBorder="1" applyAlignment="1">
      <alignment vertical="top"/>
    </xf>
    <xf numFmtId="2" fontId="8" fillId="0" borderId="10" xfId="0" applyNumberFormat="1" applyFont="1" applyFill="1" applyBorder="1" applyAlignment="1">
      <alignment horizontal="left" vertical="top"/>
    </xf>
    <xf numFmtId="10" fontId="8" fillId="8" borderId="2" xfId="0" applyNumberFormat="1" applyFont="1" applyFill="1" applyBorder="1" applyAlignment="1">
      <alignment horizontal="left" vertical="top"/>
    </xf>
    <xf numFmtId="10" fontId="22" fillId="0" borderId="0" xfId="2" applyNumberFormat="1" applyFont="1" applyFill="1" applyBorder="1" applyAlignment="1">
      <alignment horizontal="left" vertical="top"/>
    </xf>
    <xf numFmtId="10" fontId="22" fillId="0" borderId="5" xfId="2" applyNumberFormat="1" applyFont="1" applyFill="1" applyBorder="1" applyAlignment="1">
      <alignment horizontal="left" vertical="top"/>
    </xf>
    <xf numFmtId="165" fontId="30" fillId="0" borderId="13" xfId="2" applyNumberFormat="1" applyFont="1" applyFill="1" applyBorder="1" applyAlignment="1">
      <alignment horizontal="left" vertical="top"/>
    </xf>
    <xf numFmtId="165" fontId="30" fillId="0" borderId="12" xfId="2" applyNumberFormat="1" applyFont="1" applyFill="1" applyBorder="1" applyAlignment="1">
      <alignment horizontal="left" vertical="top"/>
    </xf>
    <xf numFmtId="165" fontId="30" fillId="0" borderId="14" xfId="2" applyNumberFormat="1" applyFont="1" applyFill="1" applyBorder="1" applyAlignment="1">
      <alignment horizontal="left" vertical="top"/>
    </xf>
    <xf numFmtId="166" fontId="8" fillId="5" borderId="2" xfId="0" applyFont="1" applyFill="1" applyBorder="1" applyAlignment="1">
      <alignment horizontal="left" vertical="top"/>
    </xf>
    <xf numFmtId="166" fontId="8" fillId="2" borderId="2" xfId="0" applyFont="1" applyFill="1" applyBorder="1" applyAlignment="1">
      <alignment horizontal="left" vertical="top"/>
    </xf>
    <xf numFmtId="10" fontId="37" fillId="0" borderId="2" xfId="2" applyNumberFormat="1" applyFont="1" applyFill="1" applyBorder="1" applyAlignment="1">
      <alignment horizontal="left" vertical="top"/>
    </xf>
    <xf numFmtId="1" fontId="42" fillId="0" borderId="0" xfId="0" applyNumberFormat="1" applyFont="1" applyFill="1" applyBorder="1" applyAlignment="1">
      <alignment horizontal="right" vertical="top"/>
    </xf>
    <xf numFmtId="2" fontId="42" fillId="0" borderId="0" xfId="0" applyNumberFormat="1" applyFont="1" applyFill="1" applyAlignment="1">
      <alignment horizontal="right" vertical="top"/>
    </xf>
    <xf numFmtId="2" fontId="8" fillId="3" borderId="35" xfId="0" applyNumberFormat="1" applyFont="1" applyFill="1" applyBorder="1" applyAlignment="1">
      <alignment horizontal="left" vertical="top"/>
    </xf>
    <xf numFmtId="166" fontId="8" fillId="0" borderId="0" xfId="0" applyFont="1" applyFill="1" applyBorder="1" applyAlignment="1">
      <alignment horizontal="left" vertical="top"/>
    </xf>
    <xf numFmtId="164" fontId="37" fillId="0" borderId="12" xfId="0" applyNumberFormat="1" applyFont="1" applyFill="1" applyBorder="1" applyAlignment="1">
      <alignment horizontal="left" vertical="top"/>
    </xf>
    <xf numFmtId="166" fontId="0" fillId="12" borderId="0" xfId="0" applyFill="1" applyAlignment="1">
      <alignment horizontal="left"/>
    </xf>
    <xf numFmtId="166" fontId="0" fillId="0" borderId="0" xfId="0" applyFill="1" applyAlignment="1">
      <alignment horizontal="left"/>
    </xf>
    <xf numFmtId="166" fontId="8" fillId="0" borderId="0" xfId="0" applyFont="1" applyFill="1" applyAlignment="1">
      <alignment horizontal="left"/>
    </xf>
    <xf numFmtId="166" fontId="8" fillId="0" borderId="0" xfId="0" applyFont="1" applyFill="1"/>
    <xf numFmtId="10" fontId="0" fillId="0" borderId="0" xfId="0" applyNumberFormat="1" applyFill="1" applyAlignment="1">
      <alignment horizontal="left"/>
    </xf>
    <xf numFmtId="166" fontId="0" fillId="0" borderId="0" xfId="0" applyNumberFormat="1" applyFill="1"/>
    <xf numFmtId="166" fontId="8" fillId="0" borderId="12" xfId="4" applyFont="1" applyFill="1" applyBorder="1">
      <alignment vertical="top"/>
    </xf>
    <xf numFmtId="166" fontId="0" fillId="0" borderId="12" xfId="0" applyNumberFormat="1" applyFill="1" applyBorder="1"/>
    <xf numFmtId="166" fontId="8" fillId="0" borderId="0" xfId="4" applyFont="1" applyFill="1">
      <alignment vertical="top"/>
    </xf>
    <xf numFmtId="10" fontId="8" fillId="0" borderId="0" xfId="0" applyNumberFormat="1" applyFont="1" applyFill="1" applyAlignment="1">
      <alignment horizontal="left"/>
    </xf>
    <xf numFmtId="166" fontId="8" fillId="0" borderId="10" xfId="0" applyNumberFormat="1" applyFont="1" applyBorder="1" applyAlignment="1">
      <alignment horizontal="left" vertical="top"/>
    </xf>
    <xf numFmtId="11" fontId="8" fillId="0" borderId="10" xfId="0" applyNumberFormat="1" applyFont="1" applyBorder="1" applyAlignment="1">
      <alignment horizontal="left" vertical="top"/>
    </xf>
    <xf numFmtId="166" fontId="8" fillId="0" borderId="12" xfId="0" applyNumberFormat="1" applyFont="1" applyBorder="1" applyAlignment="1">
      <alignment horizontal="left" vertical="top"/>
    </xf>
    <xf numFmtId="166" fontId="8" fillId="0" borderId="7" xfId="0" applyFont="1" applyFill="1" applyBorder="1" applyAlignment="1">
      <alignment vertical="top"/>
    </xf>
    <xf numFmtId="166" fontId="8" fillId="14" borderId="2" xfId="0" applyFont="1" applyFill="1" applyBorder="1" applyAlignment="1">
      <alignment vertical="top"/>
    </xf>
    <xf numFmtId="166" fontId="8" fillId="6" borderId="2" xfId="0" applyFont="1" applyFill="1" applyBorder="1" applyAlignment="1">
      <alignment vertical="top"/>
    </xf>
    <xf numFmtId="166" fontId="8" fillId="14" borderId="9" xfId="0" applyFont="1" applyFill="1" applyBorder="1" applyAlignment="1">
      <alignment vertical="top"/>
    </xf>
    <xf numFmtId="166" fontId="8" fillId="14" borderId="1" xfId="0" applyFont="1" applyFill="1" applyBorder="1" applyAlignment="1">
      <alignment vertical="top"/>
    </xf>
    <xf numFmtId="166" fontId="8" fillId="6" borderId="1" xfId="0" applyFont="1" applyFill="1" applyBorder="1" applyAlignment="1">
      <alignment vertical="top"/>
    </xf>
    <xf numFmtId="166" fontId="33" fillId="0" borderId="0" xfId="0" applyFont="1" applyBorder="1" applyAlignment="1">
      <alignment vertical="top"/>
    </xf>
    <xf numFmtId="166" fontId="33" fillId="0" borderId="0" xfId="0" applyFont="1" applyBorder="1" applyAlignment="1">
      <alignment vertical="top" wrapText="1"/>
    </xf>
    <xf numFmtId="166" fontId="8" fillId="0" borderId="7" xfId="0" applyNumberFormat="1" applyFont="1" applyBorder="1" applyAlignment="1">
      <alignment horizontal="left" vertical="top"/>
    </xf>
    <xf numFmtId="166" fontId="8" fillId="9" borderId="12" xfId="0" applyNumberFormat="1" applyFont="1" applyFill="1" applyBorder="1" applyAlignment="1">
      <alignment horizontal="left" vertical="top"/>
    </xf>
    <xf numFmtId="166" fontId="8" fillId="9" borderId="7" xfId="0" applyFont="1" applyFill="1" applyBorder="1" applyAlignment="1">
      <alignment vertical="top"/>
    </xf>
    <xf numFmtId="166" fontId="8" fillId="0" borderId="0" xfId="0" applyFont="1" applyBorder="1" applyAlignment="1">
      <alignment vertical="top" wrapText="1"/>
    </xf>
    <xf numFmtId="166" fontId="21" fillId="0" borderId="4" xfId="0" applyFont="1" applyFill="1" applyBorder="1" applyAlignment="1">
      <alignment vertical="top"/>
    </xf>
    <xf numFmtId="166" fontId="0" fillId="0" borderId="5" xfId="0" applyFill="1" applyBorder="1" applyAlignment="1">
      <alignment vertical="top"/>
    </xf>
    <xf numFmtId="166" fontId="21" fillId="0" borderId="5" xfId="0" applyFont="1" applyFill="1" applyBorder="1" applyAlignment="1">
      <alignment vertical="top"/>
    </xf>
    <xf numFmtId="166" fontId="8" fillId="0" borderId="1" xfId="0" applyNumberFormat="1" applyFont="1" applyFill="1" applyBorder="1" applyAlignment="1" applyProtection="1">
      <alignment horizontal="left"/>
      <protection locked="0"/>
    </xf>
    <xf numFmtId="166" fontId="0" fillId="0" borderId="5" xfId="0" applyBorder="1" applyAlignment="1">
      <alignment vertical="top"/>
    </xf>
    <xf numFmtId="166" fontId="8" fillId="0" borderId="5" xfId="0" applyFont="1" applyFill="1" applyBorder="1" applyAlignment="1">
      <alignment vertical="top"/>
    </xf>
    <xf numFmtId="166" fontId="10" fillId="0" borderId="5" xfId="0" applyFont="1" applyBorder="1" applyAlignment="1">
      <alignment vertical="top"/>
    </xf>
    <xf numFmtId="166" fontId="8" fillId="0" borderId="8" xfId="0" applyFont="1" applyBorder="1" applyAlignment="1">
      <alignment vertical="top"/>
    </xf>
    <xf numFmtId="166" fontId="8" fillId="0" borderId="2" xfId="0" applyNumberFormat="1" applyFont="1" applyFill="1" applyBorder="1" applyAlignment="1" applyProtection="1">
      <alignment horizontal="left"/>
      <protection locked="0"/>
    </xf>
    <xf numFmtId="166" fontId="8" fillId="0" borderId="47" xfId="0" applyNumberFormat="1" applyFont="1" applyFill="1" applyBorder="1" applyAlignment="1" applyProtection="1">
      <alignment horizontal="left"/>
      <protection locked="0"/>
    </xf>
    <xf numFmtId="166" fontId="8" fillId="9" borderId="47" xfId="0" applyNumberFormat="1" applyFont="1" applyFill="1" applyBorder="1" applyAlignment="1" applyProtection="1">
      <alignment horizontal="left"/>
      <protection locked="0"/>
    </xf>
    <xf numFmtId="166" fontId="8" fillId="9" borderId="11" xfId="0" applyFont="1" applyFill="1" applyBorder="1" applyAlignment="1">
      <alignment vertical="top"/>
    </xf>
    <xf numFmtId="166" fontId="8" fillId="0" borderId="11" xfId="0" applyNumberFormat="1" applyFont="1" applyFill="1" applyBorder="1" applyAlignment="1" applyProtection="1">
      <alignment horizontal="left"/>
      <protection locked="0"/>
    </xf>
    <xf numFmtId="166" fontId="33" fillId="0" borderId="1" xfId="0" applyNumberFormat="1" applyFont="1" applyFill="1" applyBorder="1" applyAlignment="1" applyProtection="1">
      <alignment horizontal="left"/>
      <protection locked="0"/>
    </xf>
    <xf numFmtId="166" fontId="33" fillId="0" borderId="2" xfId="0" applyNumberFormat="1" applyFont="1" applyFill="1" applyBorder="1" applyAlignment="1" applyProtection="1">
      <alignment horizontal="left"/>
      <protection locked="0"/>
    </xf>
    <xf numFmtId="166" fontId="33" fillId="0" borderId="10" xfId="0" applyNumberFormat="1" applyFont="1" applyBorder="1" applyAlignment="1">
      <alignment horizontal="left" vertical="top"/>
    </xf>
    <xf numFmtId="165" fontId="8" fillId="0" borderId="9" xfId="2" applyNumberFormat="1" applyFont="1" applyFill="1" applyBorder="1" applyAlignment="1">
      <alignment horizontal="left" vertical="top"/>
    </xf>
    <xf numFmtId="165" fontId="8" fillId="0" borderId="9" xfId="2" applyNumberFormat="1" applyFont="1" applyBorder="1" applyAlignment="1">
      <alignment horizontal="left" vertical="top"/>
    </xf>
    <xf numFmtId="165" fontId="33" fillId="0" borderId="9" xfId="2" applyNumberFormat="1" applyFont="1" applyBorder="1" applyAlignment="1">
      <alignment horizontal="left" vertical="top"/>
    </xf>
    <xf numFmtId="165" fontId="8" fillId="0" borderId="13" xfId="2" applyNumberFormat="1" applyFont="1" applyFill="1" applyBorder="1" applyAlignment="1">
      <alignment horizontal="left" vertical="top"/>
    </xf>
    <xf numFmtId="165" fontId="8" fillId="9" borderId="13" xfId="2" applyNumberFormat="1" applyFont="1" applyFill="1" applyBorder="1" applyAlignment="1">
      <alignment horizontal="left" vertical="top"/>
    </xf>
    <xf numFmtId="165" fontId="8" fillId="9" borderId="6" xfId="0" applyNumberFormat="1" applyFont="1" applyFill="1" applyBorder="1" applyAlignment="1">
      <alignment horizontal="left" vertical="top"/>
    </xf>
    <xf numFmtId="165" fontId="8" fillId="0" borderId="6" xfId="2" applyNumberFormat="1" applyFont="1" applyBorder="1" applyAlignment="1">
      <alignment horizontal="left" vertical="top"/>
    </xf>
    <xf numFmtId="165" fontId="8" fillId="0" borderId="2" xfId="2" applyNumberFormat="1" applyFont="1" applyFill="1" applyBorder="1" applyAlignment="1">
      <alignment horizontal="left" vertical="top"/>
    </xf>
    <xf numFmtId="165" fontId="8" fillId="0" borderId="47" xfId="2" applyNumberFormat="1" applyFont="1" applyFill="1" applyBorder="1" applyAlignment="1">
      <alignment horizontal="left" vertical="top"/>
    </xf>
    <xf numFmtId="165" fontId="8" fillId="9" borderId="47" xfId="2" applyNumberFormat="1" applyFont="1" applyFill="1" applyBorder="1" applyAlignment="1">
      <alignment horizontal="left" vertical="top"/>
    </xf>
    <xf numFmtId="165" fontId="8" fillId="9" borderId="11" xfId="0" applyNumberFormat="1" applyFont="1" applyFill="1" applyBorder="1" applyAlignment="1">
      <alignment horizontal="left" vertical="top"/>
    </xf>
    <xf numFmtId="165" fontId="8" fillId="0" borderId="11" xfId="2" applyNumberFormat="1" applyFont="1" applyBorder="1" applyAlignment="1">
      <alignment horizontal="left" vertical="top"/>
    </xf>
    <xf numFmtId="165" fontId="8" fillId="0" borderId="2" xfId="2" applyNumberFormat="1" applyFont="1" applyBorder="1" applyAlignment="1">
      <alignment horizontal="left" vertical="top"/>
    </xf>
    <xf numFmtId="165" fontId="8" fillId="0" borderId="10" xfId="2" applyNumberFormat="1" applyFont="1" applyBorder="1" applyAlignment="1">
      <alignment horizontal="left" vertical="top"/>
    </xf>
    <xf numFmtId="165" fontId="54" fillId="0" borderId="10" xfId="2" applyNumberFormat="1" applyFont="1" applyFill="1" applyBorder="1" applyAlignment="1">
      <alignment horizontal="left" vertical="top"/>
    </xf>
    <xf numFmtId="165" fontId="54" fillId="0" borderId="12" xfId="2" applyNumberFormat="1" applyFont="1" applyFill="1" applyBorder="1" applyAlignment="1">
      <alignment horizontal="left" vertical="top"/>
    </xf>
    <xf numFmtId="165" fontId="44" fillId="9" borderId="12" xfId="2" applyNumberFormat="1" applyFont="1" applyFill="1" applyBorder="1" applyAlignment="1">
      <alignment horizontal="left" vertical="top"/>
    </xf>
    <xf numFmtId="165" fontId="54" fillId="9" borderId="12" xfId="2" applyNumberFormat="1" applyFont="1" applyFill="1" applyBorder="1" applyAlignment="1">
      <alignment horizontal="left" vertical="top"/>
    </xf>
    <xf numFmtId="165" fontId="8" fillId="9" borderId="7" xfId="0" applyNumberFormat="1" applyFont="1" applyFill="1" applyBorder="1" applyAlignment="1">
      <alignment horizontal="left" vertical="top"/>
    </xf>
    <xf numFmtId="165" fontId="44" fillId="0" borderId="7" xfId="2" applyNumberFormat="1" applyFont="1" applyBorder="1" applyAlignment="1">
      <alignment horizontal="left" vertical="top"/>
    </xf>
    <xf numFmtId="165" fontId="8" fillId="0" borderId="10" xfId="2" applyNumberFormat="1" applyFont="1" applyFill="1" applyBorder="1" applyAlignment="1">
      <alignment horizontal="left" vertical="top"/>
    </xf>
    <xf numFmtId="165" fontId="44" fillId="0" borderId="10" xfId="2" applyNumberFormat="1" applyFont="1" applyBorder="1" applyAlignment="1">
      <alignment horizontal="left" vertical="top"/>
    </xf>
    <xf numFmtId="165" fontId="55" fillId="0" borderId="7" xfId="2" applyNumberFormat="1" applyFont="1" applyBorder="1" applyAlignment="1">
      <alignment horizontal="left" vertical="top"/>
    </xf>
    <xf numFmtId="164" fontId="42" fillId="0" borderId="0" xfId="0" applyNumberFormat="1" applyFont="1" applyBorder="1" applyAlignment="1">
      <alignment horizontal="left"/>
    </xf>
    <xf numFmtId="165" fontId="22" fillId="0" borderId="0" xfId="0" applyNumberFormat="1" applyFont="1" applyBorder="1" applyAlignment="1">
      <alignment horizontal="left" vertical="top"/>
    </xf>
    <xf numFmtId="166" fontId="42" fillId="0" borderId="0" xfId="0" applyFont="1" applyFill="1" applyBorder="1" applyAlignment="1">
      <alignment vertical="top"/>
    </xf>
    <xf numFmtId="165" fontId="42" fillId="0" borderId="0" xfId="0" applyNumberFormat="1" applyFont="1" applyBorder="1" applyAlignment="1">
      <alignment horizontal="left" vertical="top"/>
    </xf>
    <xf numFmtId="166" fontId="42" fillId="0" borderId="0" xfId="0" applyNumberFormat="1" applyFont="1" applyBorder="1" applyAlignment="1">
      <alignment horizontal="left" vertical="top"/>
    </xf>
    <xf numFmtId="166" fontId="42" fillId="0" borderId="0" xfId="0" applyNumberFormat="1" applyFont="1" applyFill="1" applyBorder="1" applyAlignment="1">
      <alignment horizontal="left" vertical="top"/>
    </xf>
    <xf numFmtId="165" fontId="42" fillId="0" borderId="0" xfId="0" applyNumberFormat="1" applyFont="1" applyFill="1" applyBorder="1" applyAlignment="1">
      <alignment horizontal="left" vertical="top"/>
    </xf>
    <xf numFmtId="10" fontId="42" fillId="0" borderId="0" xfId="0" applyNumberFormat="1" applyFont="1" applyFill="1" applyBorder="1" applyAlignment="1">
      <alignment horizontal="left" vertical="top"/>
    </xf>
    <xf numFmtId="165" fontId="8" fillId="0" borderId="2" xfId="0" applyNumberFormat="1" applyFont="1" applyBorder="1" applyAlignment="1">
      <alignment vertical="top"/>
    </xf>
    <xf numFmtId="165" fontId="33" fillId="0" borderId="2" xfId="2" applyNumberFormat="1" applyFont="1" applyBorder="1" applyAlignment="1">
      <alignment horizontal="left" vertical="top"/>
    </xf>
    <xf numFmtId="166" fontId="8" fillId="0" borderId="0" xfId="0" applyFont="1" applyBorder="1" applyAlignment="1">
      <alignment horizontal="right" vertical="top"/>
    </xf>
    <xf numFmtId="166" fontId="33" fillId="0" borderId="0" xfId="0" applyFont="1" applyBorder="1" applyAlignment="1">
      <alignment horizontal="right" vertical="top"/>
    </xf>
    <xf numFmtId="165" fontId="56" fillId="0" borderId="0" xfId="0" applyNumberFormat="1" applyFont="1" applyBorder="1" applyAlignment="1">
      <alignment horizontal="left" vertical="top"/>
    </xf>
    <xf numFmtId="165" fontId="56" fillId="0" borderId="0" xfId="0" applyNumberFormat="1" applyFont="1" applyFill="1" applyBorder="1" applyAlignment="1">
      <alignment horizontal="left" vertical="top"/>
    </xf>
    <xf numFmtId="166" fontId="22" fillId="0" borderId="0" xfId="0" applyNumberFormat="1" applyFont="1" applyBorder="1" applyAlignment="1">
      <alignment horizontal="left" vertical="top"/>
    </xf>
    <xf numFmtId="165" fontId="22" fillId="0" borderId="0" xfId="0" applyNumberFormat="1" applyFont="1" applyFill="1" applyBorder="1" applyAlignment="1">
      <alignment horizontal="left" vertical="top"/>
    </xf>
    <xf numFmtId="166" fontId="8" fillId="14" borderId="10" xfId="0" applyFont="1" applyFill="1" applyBorder="1" applyAlignment="1">
      <alignment horizontal="right" vertical="top"/>
    </xf>
    <xf numFmtId="165" fontId="8" fillId="14" borderId="10" xfId="0" applyNumberFormat="1" applyFont="1" applyFill="1" applyBorder="1" applyAlignment="1">
      <alignment horizontal="left" vertical="top"/>
    </xf>
    <xf numFmtId="10" fontId="8" fillId="0" borderId="9" xfId="0" applyNumberFormat="1" applyFont="1" applyFill="1" applyBorder="1" applyAlignment="1">
      <alignment horizontal="left" vertical="top"/>
    </xf>
    <xf numFmtId="166" fontId="27" fillId="4" borderId="6" xfId="0" applyNumberFormat="1" applyFont="1" applyFill="1" applyBorder="1" applyAlignment="1">
      <alignment horizontal="left" vertical="top"/>
    </xf>
    <xf numFmtId="166" fontId="37" fillId="0" borderId="4" xfId="0" applyFont="1" applyFill="1" applyBorder="1" applyAlignment="1">
      <alignment horizontal="left" vertical="top"/>
    </xf>
    <xf numFmtId="9" fontId="37" fillId="0" borderId="4" xfId="0" applyNumberFormat="1" applyFont="1" applyFill="1" applyBorder="1" applyAlignment="1">
      <alignment horizontal="left" vertical="top"/>
    </xf>
    <xf numFmtId="166" fontId="37" fillId="0" borderId="4" xfId="0" quotePrefix="1" applyFont="1" applyFill="1" applyBorder="1" applyAlignment="1">
      <alignment horizontal="left" vertical="top"/>
    </xf>
    <xf numFmtId="10" fontId="37" fillId="0" borderId="4" xfId="2" quotePrefix="1" applyNumberFormat="1" applyFont="1" applyFill="1" applyBorder="1" applyAlignment="1">
      <alignment horizontal="left" vertical="top"/>
    </xf>
    <xf numFmtId="166" fontId="0" fillId="0" borderId="4" xfId="0" applyBorder="1" applyAlignment="1">
      <alignment vertical="top"/>
    </xf>
    <xf numFmtId="166" fontId="8" fillId="0" borderId="0" xfId="0" applyFont="1" applyBorder="1" applyAlignment="1">
      <alignment horizontal="left" vertical="top" indent="1"/>
    </xf>
    <xf numFmtId="166" fontId="0" fillId="0" borderId="43" xfId="0" applyBorder="1" applyAlignment="1">
      <alignment vertical="top"/>
    </xf>
    <xf numFmtId="166" fontId="10" fillId="0" borderId="43" xfId="0" applyFont="1" applyBorder="1" applyAlignment="1">
      <alignment vertical="top"/>
    </xf>
    <xf numFmtId="166" fontId="10" fillId="0" borderId="50" xfId="0" applyFont="1" applyBorder="1" applyAlignment="1">
      <alignment vertical="top"/>
    </xf>
    <xf numFmtId="166" fontId="10" fillId="0" borderId="52" xfId="0" applyFont="1" applyBorder="1" applyAlignment="1">
      <alignment vertical="top"/>
    </xf>
    <xf numFmtId="166" fontId="0" fillId="0" borderId="52" xfId="0" applyBorder="1" applyAlignment="1">
      <alignment vertical="top"/>
    </xf>
    <xf numFmtId="166" fontId="8" fillId="0" borderId="51" xfId="0" applyFont="1" applyBorder="1" applyAlignment="1">
      <alignment vertical="top"/>
    </xf>
    <xf numFmtId="166" fontId="8" fillId="0" borderId="52" xfId="0" applyFont="1" applyBorder="1" applyAlignment="1">
      <alignment vertical="top"/>
    </xf>
    <xf numFmtId="165" fontId="9" fillId="14" borderId="10" xfId="0" applyNumberFormat="1" applyFont="1" applyFill="1" applyBorder="1" applyAlignment="1">
      <alignment horizontal="left" vertical="top"/>
    </xf>
    <xf numFmtId="166" fontId="57" fillId="0" borderId="0" xfId="0" applyFont="1" applyBorder="1" applyAlignment="1">
      <alignment vertical="top"/>
    </xf>
    <xf numFmtId="166" fontId="8" fillId="14" borderId="10" xfId="0" applyFont="1" applyFill="1" applyBorder="1" applyAlignment="1">
      <alignment vertical="top"/>
    </xf>
    <xf numFmtId="166" fontId="9" fillId="0" borderId="4" xfId="0" applyFont="1" applyFill="1" applyBorder="1" applyAlignment="1">
      <alignment vertical="top"/>
    </xf>
    <xf numFmtId="166" fontId="8" fillId="0" borderId="4" xfId="0" applyFont="1" applyBorder="1" applyAlignment="1">
      <alignment vertical="top"/>
    </xf>
    <xf numFmtId="166" fontId="0" fillId="0" borderId="4" xfId="0" applyFill="1" applyBorder="1" applyAlignment="1">
      <alignment vertical="top"/>
    </xf>
    <xf numFmtId="166" fontId="22" fillId="0" borderId="4" xfId="0" applyFont="1" applyBorder="1" applyAlignment="1">
      <alignment vertical="top"/>
    </xf>
    <xf numFmtId="166" fontId="9" fillId="0" borderId="51" xfId="0" applyFont="1" applyFill="1" applyBorder="1" applyAlignment="1">
      <alignment vertical="top"/>
    </xf>
    <xf numFmtId="166" fontId="8" fillId="0" borderId="51" xfId="0" applyFont="1" applyFill="1" applyBorder="1" applyAlignment="1">
      <alignment vertical="top"/>
    </xf>
    <xf numFmtId="166" fontId="0" fillId="0" borderId="51" xfId="0" applyBorder="1" applyAlignment="1">
      <alignment vertical="top"/>
    </xf>
    <xf numFmtId="166" fontId="20" fillId="0" borderId="51" xfId="0" applyFont="1" applyFill="1" applyBorder="1" applyAlignment="1">
      <alignment vertical="top"/>
    </xf>
    <xf numFmtId="166" fontId="42" fillId="0" borderId="51" xfId="0" applyFont="1" applyBorder="1" applyAlignment="1">
      <alignment vertical="top"/>
    </xf>
    <xf numFmtId="166" fontId="0" fillId="0" borderId="51" xfId="0" applyFill="1" applyBorder="1" applyAlignment="1">
      <alignment vertical="top"/>
    </xf>
    <xf numFmtId="166" fontId="21" fillId="0" borderId="51" xfId="0" applyFont="1" applyFill="1" applyBorder="1" applyAlignment="1">
      <alignment vertical="top"/>
    </xf>
    <xf numFmtId="166" fontId="12" fillId="0" borderId="51" xfId="0" applyFont="1" applyBorder="1" applyAlignment="1">
      <alignment vertical="top"/>
    </xf>
    <xf numFmtId="166" fontId="10" fillId="0" borderId="51" xfId="0" applyFont="1" applyBorder="1" applyAlignment="1">
      <alignment vertical="top"/>
    </xf>
    <xf numFmtId="166" fontId="13" fillId="0" borderId="51" xfId="0" applyFont="1" applyBorder="1" applyAlignment="1">
      <alignment vertical="top"/>
    </xf>
    <xf numFmtId="166" fontId="9" fillId="0" borderId="51" xfId="0" applyFont="1" applyBorder="1" applyAlignment="1">
      <alignment vertical="top"/>
    </xf>
    <xf numFmtId="166" fontId="22" fillId="0" borderId="51" xfId="0" applyFont="1" applyBorder="1" applyAlignment="1">
      <alignment vertical="top"/>
    </xf>
    <xf numFmtId="166" fontId="37" fillId="0" borderId="0" xfId="0" applyFont="1" applyFill="1" applyBorder="1" applyAlignment="1">
      <alignment horizontal="left" vertical="top" wrapText="1"/>
    </xf>
    <xf numFmtId="166" fontId="37" fillId="0" borderId="5" xfId="0" applyFont="1" applyFill="1" applyBorder="1" applyAlignment="1">
      <alignment horizontal="left" vertical="top" wrapText="1"/>
    </xf>
    <xf numFmtId="166" fontId="8" fillId="0" borderId="0" xfId="0" applyFont="1" applyFill="1" applyBorder="1" applyAlignment="1">
      <alignment horizontal="left" vertical="top" wrapText="1"/>
    </xf>
    <xf numFmtId="9" fontId="8" fillId="0" borderId="2" xfId="0" applyNumberFormat="1" applyFont="1" applyFill="1" applyBorder="1" applyAlignment="1">
      <alignment horizontal="left" vertical="top"/>
    </xf>
    <xf numFmtId="166" fontId="8" fillId="0" borderId="2" xfId="0" applyFont="1" applyFill="1" applyBorder="1" applyAlignment="1">
      <alignment horizontal="left" vertical="top"/>
    </xf>
    <xf numFmtId="164" fontId="37" fillId="0" borderId="14" xfId="0" applyNumberFormat="1" applyFont="1" applyFill="1" applyBorder="1" applyAlignment="1">
      <alignment horizontal="left" vertical="top"/>
    </xf>
    <xf numFmtId="166" fontId="8" fillId="0" borderId="5" xfId="0" applyFont="1" applyFill="1" applyBorder="1" applyAlignment="1">
      <alignment horizontal="left" vertical="top" wrapText="1"/>
    </xf>
    <xf numFmtId="166" fontId="8" fillId="0" borderId="4" xfId="0" applyFont="1" applyFill="1" applyBorder="1" applyAlignment="1">
      <alignment vertical="top"/>
    </xf>
    <xf numFmtId="9" fontId="8" fillId="0" borderId="5" xfId="0" applyNumberFormat="1" applyFont="1" applyFill="1" applyBorder="1" applyAlignment="1">
      <alignment horizontal="left" vertical="top"/>
    </xf>
    <xf numFmtId="2" fontId="8" fillId="0" borderId="4" xfId="0" applyNumberFormat="1" applyFont="1" applyBorder="1" applyAlignment="1">
      <alignment horizontal="left" vertical="top"/>
    </xf>
    <xf numFmtId="10" fontId="22" fillId="0" borderId="4" xfId="2" applyNumberFormat="1" applyFont="1" applyFill="1" applyBorder="1" applyAlignment="1">
      <alignment horizontal="left" vertical="top"/>
    </xf>
    <xf numFmtId="166" fontId="8" fillId="0" borderId="0" xfId="0" applyFont="1" applyBorder="1" applyAlignment="1">
      <alignment horizontal="left" vertical="top" wrapText="1"/>
    </xf>
    <xf numFmtId="166" fontId="8" fillId="0" borderId="52" xfId="0" applyFont="1" applyBorder="1" applyAlignment="1">
      <alignment horizontal="left" vertical="top" wrapText="1"/>
    </xf>
    <xf numFmtId="166" fontId="8" fillId="0" borderId="52" xfId="0" applyFont="1" applyBorder="1" applyAlignment="1">
      <alignment vertical="top" wrapText="1"/>
    </xf>
    <xf numFmtId="166" fontId="10" fillId="0" borderId="12" xfId="0" applyFont="1" applyBorder="1" applyAlignment="1">
      <alignment vertical="top"/>
    </xf>
    <xf numFmtId="166" fontId="9" fillId="0" borderId="43" xfId="0" applyFont="1" applyBorder="1" applyAlignment="1">
      <alignment vertical="top"/>
    </xf>
    <xf numFmtId="165" fontId="0" fillId="0" borderId="0" xfId="0" applyNumberFormat="1" applyFill="1" applyAlignment="1">
      <alignment horizontal="left"/>
    </xf>
    <xf numFmtId="10" fontId="9" fillId="0" borderId="0" xfId="0" applyNumberFormat="1" applyFont="1" applyFill="1" applyBorder="1" applyAlignment="1">
      <alignment horizontal="left"/>
    </xf>
    <xf numFmtId="166" fontId="9" fillId="9" borderId="0" xfId="0" applyFont="1" applyFill="1" applyBorder="1" applyAlignment="1">
      <alignment horizontal="left"/>
    </xf>
    <xf numFmtId="166" fontId="0" fillId="0" borderId="12" xfId="0" applyFill="1" applyBorder="1"/>
    <xf numFmtId="166" fontId="59" fillId="0" borderId="0" xfId="0" applyFont="1" applyBorder="1" applyAlignment="1">
      <alignment vertical="top"/>
    </xf>
    <xf numFmtId="165" fontId="9" fillId="0" borderId="10" xfId="0" applyNumberFormat="1" applyFont="1" applyFill="1" applyBorder="1" applyAlignment="1">
      <alignment horizontal="left"/>
    </xf>
    <xf numFmtId="165" fontId="0" fillId="0" borderId="10" xfId="0" applyNumberFormat="1" applyFill="1" applyBorder="1" applyAlignment="1">
      <alignment horizontal="left"/>
    </xf>
    <xf numFmtId="166" fontId="9" fillId="0" borderId="6" xfId="0" applyFont="1" applyFill="1" applyBorder="1" applyAlignment="1">
      <alignment vertical="top"/>
    </xf>
    <xf numFmtId="166" fontId="20" fillId="0" borderId="4" xfId="0" applyFont="1" applyFill="1" applyBorder="1" applyAlignment="1">
      <alignment vertical="top"/>
    </xf>
    <xf numFmtId="166" fontId="12" fillId="0" borderId="4" xfId="0" applyFont="1" applyBorder="1" applyAlignment="1">
      <alignment vertical="top"/>
    </xf>
    <xf numFmtId="166" fontId="10" fillId="0" borderId="4" xfId="0" applyFont="1" applyBorder="1" applyAlignment="1">
      <alignment vertical="top"/>
    </xf>
    <xf numFmtId="166" fontId="13" fillId="0" borderId="4" xfId="0" applyFont="1" applyBorder="1" applyAlignment="1">
      <alignment vertical="top"/>
    </xf>
    <xf numFmtId="166" fontId="9" fillId="0" borderId="4" xfId="0" applyFont="1" applyBorder="1" applyAlignment="1">
      <alignment vertical="top"/>
    </xf>
    <xf numFmtId="166" fontId="8" fillId="0" borderId="9" xfId="0" applyFont="1" applyFill="1" applyBorder="1" applyAlignment="1">
      <alignment vertical="top"/>
    </xf>
    <xf numFmtId="166" fontId="9" fillId="9" borderId="49" xfId="0" applyFont="1" applyFill="1" applyBorder="1" applyAlignment="1">
      <alignment horizontal="left"/>
    </xf>
    <xf numFmtId="166" fontId="0" fillId="9" borderId="43" xfId="0" applyFill="1" applyBorder="1" applyAlignment="1">
      <alignment horizontal="left"/>
    </xf>
    <xf numFmtId="166" fontId="0" fillId="9" borderId="50" xfId="0" applyFill="1" applyBorder="1" applyAlignment="1">
      <alignment horizontal="left"/>
    </xf>
    <xf numFmtId="166" fontId="8" fillId="9" borderId="51" xfId="0" applyFont="1" applyFill="1" applyBorder="1" applyAlignment="1">
      <alignment horizontal="left"/>
    </xf>
    <xf numFmtId="166" fontId="0" fillId="9" borderId="0" xfId="0" applyFill="1" applyBorder="1" applyAlignment="1">
      <alignment horizontal="left"/>
    </xf>
    <xf numFmtId="166" fontId="0" fillId="9" borderId="52" xfId="0" applyFill="1" applyBorder="1" applyAlignment="1">
      <alignment horizontal="left"/>
    </xf>
    <xf numFmtId="10" fontId="0" fillId="9" borderId="52" xfId="0" applyNumberFormat="1" applyFill="1" applyBorder="1" applyAlignment="1">
      <alignment horizontal="left"/>
    </xf>
    <xf numFmtId="10" fontId="0" fillId="9" borderId="0" xfId="0" applyNumberFormat="1" applyFill="1" applyBorder="1" applyAlignment="1">
      <alignment horizontal="left"/>
    </xf>
    <xf numFmtId="166" fontId="8" fillId="9" borderId="53" xfId="0" applyFont="1" applyFill="1" applyBorder="1" applyAlignment="1">
      <alignment horizontal="left"/>
    </xf>
    <xf numFmtId="10" fontId="0" fillId="9" borderId="46" xfId="0" applyNumberFormat="1" applyFill="1" applyBorder="1" applyAlignment="1">
      <alignment horizontal="left"/>
    </xf>
    <xf numFmtId="166" fontId="0" fillId="9" borderId="46" xfId="0" applyFill="1" applyBorder="1" applyAlignment="1">
      <alignment horizontal="left"/>
    </xf>
    <xf numFmtId="166" fontId="0" fillId="9" borderId="54" xfId="0" applyFill="1" applyBorder="1" applyAlignment="1">
      <alignment horizontal="left"/>
    </xf>
    <xf numFmtId="10" fontId="8" fillId="0" borderId="10" xfId="0" applyNumberFormat="1" applyFont="1" applyFill="1" applyBorder="1" applyAlignment="1">
      <alignment horizontal="left" indent="1"/>
    </xf>
    <xf numFmtId="166" fontId="0" fillId="9" borderId="49" xfId="0" applyFill="1" applyBorder="1" applyAlignment="1">
      <alignment horizontal="left"/>
    </xf>
    <xf numFmtId="166" fontId="8" fillId="9" borderId="43" xfId="0" applyFont="1" applyFill="1" applyBorder="1" applyAlignment="1">
      <alignment horizontal="left"/>
    </xf>
    <xf numFmtId="166" fontId="12" fillId="9" borderId="51" xfId="0" applyFont="1" applyFill="1" applyBorder="1" applyAlignment="1">
      <alignment horizontal="left"/>
    </xf>
    <xf numFmtId="10" fontId="8" fillId="9" borderId="52" xfId="0" applyNumberFormat="1" applyFont="1" applyFill="1" applyBorder="1" applyAlignment="1">
      <alignment horizontal="left"/>
    </xf>
    <xf numFmtId="166" fontId="9" fillId="9" borderId="51" xfId="0" applyFont="1" applyFill="1" applyBorder="1" applyAlignment="1">
      <alignment horizontal="left"/>
    </xf>
    <xf numFmtId="10" fontId="0" fillId="9" borderId="54" xfId="0" applyNumberFormat="1" applyFill="1" applyBorder="1" applyAlignment="1">
      <alignment horizontal="left"/>
    </xf>
    <xf numFmtId="166" fontId="8" fillId="9" borderId="49" xfId="0" applyFont="1" applyFill="1" applyBorder="1" applyAlignment="1">
      <alignment horizontal="left"/>
    </xf>
    <xf numFmtId="10" fontId="0" fillId="9" borderId="50" xfId="0" applyNumberFormat="1" applyFill="1" applyBorder="1" applyAlignment="1">
      <alignment horizontal="left"/>
    </xf>
    <xf numFmtId="166" fontId="9" fillId="9" borderId="50" xfId="0" applyFont="1" applyFill="1" applyBorder="1" applyAlignment="1">
      <alignment horizontal="left"/>
    </xf>
    <xf numFmtId="10" fontId="0" fillId="0" borderId="10" xfId="0" applyNumberFormat="1" applyFill="1" applyBorder="1" applyAlignment="1">
      <alignment horizontal="left"/>
    </xf>
    <xf numFmtId="10" fontId="8" fillId="0" borderId="0" xfId="0" applyNumberFormat="1" applyFont="1" applyFill="1" applyBorder="1" applyAlignment="1">
      <alignment horizontal="left"/>
    </xf>
    <xf numFmtId="166" fontId="0" fillId="0" borderId="0" xfId="0" applyFill="1" applyBorder="1" applyAlignment="1">
      <alignment horizontal="left"/>
    </xf>
    <xf numFmtId="166" fontId="0" fillId="0" borderId="0" xfId="0" applyNumberFormat="1" applyBorder="1" applyAlignment="1">
      <alignment horizontal="left" vertical="top"/>
    </xf>
    <xf numFmtId="166" fontId="41" fillId="0" borderId="0" xfId="0" applyFont="1" applyBorder="1" applyAlignment="1">
      <alignment vertical="top"/>
    </xf>
    <xf numFmtId="166" fontId="59" fillId="0" borderId="0" xfId="0" applyFont="1" applyFill="1"/>
    <xf numFmtId="166" fontId="9" fillId="0" borderId="12" xfId="4" applyFont="1" applyFill="1" applyBorder="1" applyAlignment="1">
      <alignment horizontal="left" vertical="top"/>
    </xf>
    <xf numFmtId="166" fontId="8" fillId="0" borderId="0" xfId="4" applyFont="1" applyFill="1" applyAlignment="1">
      <alignment horizontal="left" vertical="top"/>
    </xf>
    <xf numFmtId="10" fontId="41" fillId="0" borderId="0" xfId="2" applyNumberFormat="1" applyFont="1" applyFill="1" applyBorder="1" applyAlignment="1">
      <alignment horizontal="left" vertical="top"/>
    </xf>
    <xf numFmtId="166" fontId="8" fillId="0" borderId="0" xfId="0" applyFont="1" applyFill="1" applyBorder="1" applyAlignment="1">
      <alignment horizontal="left" vertical="top"/>
    </xf>
    <xf numFmtId="166" fontId="8" fillId="0" borderId="5" xfId="0" applyFont="1" applyFill="1" applyBorder="1" applyAlignment="1">
      <alignment horizontal="left" vertical="top"/>
    </xf>
    <xf numFmtId="166" fontId="63" fillId="0" borderId="0" xfId="0" applyFont="1" applyFill="1" applyAlignment="1">
      <alignment horizontal="left"/>
    </xf>
    <xf numFmtId="10" fontId="8" fillId="0" borderId="5" xfId="0" applyNumberFormat="1" applyFont="1" applyFill="1" applyBorder="1" applyAlignment="1">
      <alignment horizontal="left" vertical="top"/>
    </xf>
    <xf numFmtId="10" fontId="8" fillId="0" borderId="5" xfId="2" quotePrefix="1" applyNumberFormat="1" applyFont="1" applyFill="1" applyBorder="1" applyAlignment="1">
      <alignment horizontal="left" vertical="top"/>
    </xf>
    <xf numFmtId="166" fontId="8" fillId="0" borderId="5" xfId="0" quotePrefix="1" applyFont="1" applyFill="1" applyBorder="1" applyAlignment="1">
      <alignment horizontal="left" vertical="top"/>
    </xf>
    <xf numFmtId="2" fontId="8" fillId="0" borderId="5" xfId="0" applyNumberFormat="1" applyFont="1" applyFill="1" applyBorder="1" applyAlignment="1">
      <alignment horizontal="left" vertical="top"/>
    </xf>
    <xf numFmtId="166" fontId="8" fillId="0" borderId="5" xfId="0" applyNumberFormat="1" applyFont="1" applyFill="1" applyBorder="1" applyAlignment="1">
      <alignment horizontal="left" vertical="top"/>
    </xf>
    <xf numFmtId="166" fontId="9" fillId="0" borderId="4" xfId="0" quotePrefix="1" applyFont="1" applyFill="1" applyBorder="1" applyAlignment="1">
      <alignment horizontal="left" vertical="top"/>
    </xf>
    <xf numFmtId="166" fontId="37" fillId="0" borderId="8" xfId="0" applyFont="1" applyFill="1" applyBorder="1" applyAlignment="1">
      <alignment horizontal="left" vertical="top"/>
    </xf>
    <xf numFmtId="2" fontId="42" fillId="0" borderId="0" xfId="0" applyNumberFormat="1" applyFont="1" applyFill="1" applyBorder="1" applyAlignment="1">
      <alignment horizontal="right" vertical="top"/>
    </xf>
    <xf numFmtId="17" fontId="37" fillId="0" borderId="0" xfId="0" applyNumberFormat="1" applyFont="1" applyFill="1" applyBorder="1" applyAlignment="1">
      <alignment horizontal="right" vertical="top"/>
    </xf>
    <xf numFmtId="10" fontId="8" fillId="0" borderId="1" xfId="0" applyNumberFormat="1" applyFont="1" applyFill="1" applyBorder="1" applyAlignment="1">
      <alignment horizontal="left" vertical="top"/>
    </xf>
    <xf numFmtId="166" fontId="12" fillId="0" borderId="4" xfId="0" applyFont="1" applyBorder="1" applyAlignment="1">
      <alignment horizontal="left" vertical="top" indent="1"/>
    </xf>
    <xf numFmtId="166" fontId="8" fillId="0" borderId="4" xfId="0" applyFont="1" applyFill="1" applyBorder="1" applyAlignment="1">
      <alignment horizontal="left" vertical="top" indent="1"/>
    </xf>
    <xf numFmtId="166" fontId="27" fillId="4" borderId="9" xfId="0" applyNumberFormat="1" applyFont="1" applyFill="1" applyBorder="1" applyAlignment="1">
      <alignment horizontal="left" vertical="top"/>
    </xf>
    <xf numFmtId="2" fontId="8" fillId="0" borderId="5" xfId="0" applyNumberFormat="1" applyFont="1" applyBorder="1" applyAlignment="1">
      <alignment horizontal="left" vertical="top"/>
    </xf>
    <xf numFmtId="166" fontId="8" fillId="0" borderId="47" xfId="0" applyFont="1" applyFill="1" applyBorder="1" applyAlignment="1">
      <alignment horizontal="left" vertical="top"/>
    </xf>
    <xf numFmtId="10" fontId="8" fillId="0" borderId="1" xfId="2" applyNumberFormat="1" applyFont="1" applyFill="1" applyBorder="1" applyAlignment="1">
      <alignment horizontal="left" vertical="top"/>
    </xf>
    <xf numFmtId="166" fontId="30" fillId="0" borderId="9" xfId="0" applyFont="1" applyFill="1" applyBorder="1" applyAlignment="1">
      <alignment horizontal="left" vertical="top"/>
    </xf>
    <xf numFmtId="166" fontId="30" fillId="0" borderId="10" xfId="0" applyFont="1" applyFill="1" applyBorder="1" applyAlignment="1">
      <alignment horizontal="left" vertical="top"/>
    </xf>
    <xf numFmtId="9" fontId="8" fillId="0" borderId="13" xfId="0" applyNumberFormat="1" applyFont="1" applyFill="1" applyBorder="1" applyAlignment="1">
      <alignment horizontal="left" vertical="top"/>
    </xf>
    <xf numFmtId="9" fontId="8" fillId="0" borderId="12" xfId="0" applyNumberFormat="1" applyFont="1" applyFill="1" applyBorder="1" applyAlignment="1">
      <alignment horizontal="left" vertical="top"/>
    </xf>
    <xf numFmtId="9" fontId="8" fillId="0" borderId="14" xfId="0" applyNumberFormat="1" applyFont="1" applyFill="1" applyBorder="1" applyAlignment="1">
      <alignment horizontal="left" vertical="top"/>
    </xf>
    <xf numFmtId="165" fontId="8" fillId="8" borderId="2" xfId="0" applyNumberFormat="1" applyFont="1" applyFill="1" applyBorder="1" applyAlignment="1">
      <alignment horizontal="left" vertical="top"/>
    </xf>
    <xf numFmtId="10" fontId="9" fillId="0" borderId="4" xfId="0" applyNumberFormat="1" applyFont="1" applyBorder="1" applyAlignment="1">
      <alignment horizontal="left" vertical="top"/>
    </xf>
    <xf numFmtId="166" fontId="9" fillId="5" borderId="1" xfId="0" applyFont="1" applyFill="1" applyBorder="1" applyAlignment="1">
      <alignment vertical="top"/>
    </xf>
    <xf numFmtId="10" fontId="51" fillId="0" borderId="8" xfId="0" applyNumberFormat="1" applyFont="1" applyFill="1" applyBorder="1" applyAlignment="1">
      <alignment horizontal="left" vertical="top"/>
    </xf>
    <xf numFmtId="9" fontId="8" fillId="0" borderId="5" xfId="2" applyFont="1" applyFill="1" applyBorder="1" applyAlignment="1">
      <alignment horizontal="center" vertical="top"/>
    </xf>
    <xf numFmtId="2" fontId="8" fillId="0" borderId="5" xfId="2" applyNumberFormat="1" applyFont="1" applyFill="1" applyBorder="1" applyAlignment="1">
      <alignment horizontal="left" vertical="top"/>
    </xf>
    <xf numFmtId="10" fontId="8" fillId="0" borderId="5" xfId="0" applyNumberFormat="1" applyFont="1" applyFill="1" applyBorder="1" applyAlignment="1">
      <alignment horizontal="center" vertical="top"/>
    </xf>
    <xf numFmtId="2" fontId="42" fillId="0" borderId="5" xfId="2" applyNumberFormat="1" applyFont="1" applyFill="1" applyBorder="1" applyAlignment="1">
      <alignment horizontal="left" vertical="top"/>
    </xf>
    <xf numFmtId="9" fontId="8" fillId="0" borderId="5" xfId="2" applyNumberFormat="1" applyFont="1" applyFill="1" applyBorder="1" applyAlignment="1">
      <alignment horizontal="left" vertical="top"/>
    </xf>
    <xf numFmtId="10" fontId="22" fillId="0" borderId="0" xfId="0" applyNumberFormat="1" applyFont="1" applyFill="1" applyBorder="1" applyAlignment="1">
      <alignment horizontal="left"/>
    </xf>
    <xf numFmtId="10" fontId="22" fillId="0" borderId="0" xfId="0" applyNumberFormat="1" applyFont="1" applyFill="1" applyAlignment="1">
      <alignment horizontal="left"/>
    </xf>
    <xf numFmtId="166" fontId="22" fillId="0" borderId="0" xfId="0" applyFont="1" applyFill="1" applyAlignment="1">
      <alignment horizontal="left"/>
    </xf>
    <xf numFmtId="166" fontId="22" fillId="0" borderId="0" xfId="0" applyFont="1" applyFill="1" applyBorder="1"/>
    <xf numFmtId="165" fontId="22" fillId="0" borderId="0" xfId="0" applyNumberFormat="1" applyFont="1" applyFill="1" applyAlignment="1">
      <alignment horizontal="left"/>
    </xf>
    <xf numFmtId="10" fontId="22" fillId="0" borderId="0" xfId="2" applyNumberFormat="1" applyFont="1" applyFill="1" applyAlignment="1">
      <alignment horizontal="left"/>
    </xf>
    <xf numFmtId="166" fontId="22" fillId="0" borderId="0" xfId="0" applyFont="1" applyFill="1" applyBorder="1" applyAlignment="1">
      <alignment horizontal="left" indent="1"/>
    </xf>
    <xf numFmtId="165" fontId="22" fillId="0" borderId="0" xfId="0" applyNumberFormat="1" applyFont="1" applyFill="1" applyAlignment="1">
      <alignment horizontal="left" indent="1"/>
    </xf>
    <xf numFmtId="166" fontId="22" fillId="0" borderId="0" xfId="0" applyFont="1" applyFill="1" applyBorder="1" applyAlignment="1">
      <alignment horizontal="left"/>
    </xf>
    <xf numFmtId="166" fontId="8" fillId="0" borderId="0" xfId="0" applyFont="1" applyBorder="1" applyAlignment="1">
      <alignment vertical="top" wrapText="1"/>
    </xf>
    <xf numFmtId="166" fontId="8" fillId="0" borderId="4" xfId="0" applyFont="1" applyFill="1" applyBorder="1" applyAlignment="1">
      <alignment horizontal="left" vertical="top"/>
    </xf>
    <xf numFmtId="166" fontId="8" fillId="0" borderId="5" xfId="0" applyFont="1" applyFill="1" applyBorder="1" applyAlignment="1">
      <alignment horizontal="left" vertical="top"/>
    </xf>
    <xf numFmtId="166" fontId="8" fillId="0" borderId="0" xfId="0" applyFont="1" applyFill="1" applyBorder="1" applyAlignment="1">
      <alignment horizontal="left" vertical="top"/>
    </xf>
    <xf numFmtId="166" fontId="8" fillId="0" borderId="12" xfId="0" applyFont="1" applyFill="1" applyBorder="1" applyAlignment="1">
      <alignment horizontal="right" vertical="top"/>
    </xf>
    <xf numFmtId="165" fontId="8" fillId="0" borderId="12" xfId="0" applyNumberFormat="1" applyFont="1" applyFill="1" applyBorder="1" applyAlignment="1">
      <alignment horizontal="left" vertical="top"/>
    </xf>
    <xf numFmtId="166" fontId="8" fillId="0" borderId="12" xfId="0" applyFont="1" applyFill="1" applyBorder="1" applyAlignment="1">
      <alignment vertical="top"/>
    </xf>
    <xf numFmtId="166" fontId="8" fillId="0" borderId="9" xfId="0" applyFont="1" applyFill="1" applyBorder="1" applyAlignment="1">
      <alignment horizontal="right" vertical="top"/>
    </xf>
    <xf numFmtId="165" fontId="8" fillId="0" borderId="10" xfId="0" applyNumberFormat="1" applyFont="1" applyFill="1" applyBorder="1" applyAlignment="1">
      <alignment horizontal="left" vertical="top"/>
    </xf>
    <xf numFmtId="166" fontId="8" fillId="0" borderId="10" xfId="0" applyFont="1" applyFill="1" applyBorder="1" applyAlignment="1">
      <alignment horizontal="right" vertical="top"/>
    </xf>
    <xf numFmtId="166" fontId="8" fillId="0" borderId="10" xfId="0" applyFont="1" applyFill="1" applyBorder="1" applyAlignment="1">
      <alignment vertical="top"/>
    </xf>
    <xf numFmtId="166" fontId="8" fillId="0" borderId="1" xfId="0" applyFont="1" applyFill="1" applyBorder="1" applyAlignment="1">
      <alignment vertical="top"/>
    </xf>
    <xf numFmtId="165" fontId="9" fillId="0" borderId="10" xfId="0" applyNumberFormat="1" applyFont="1" applyFill="1" applyBorder="1" applyAlignment="1">
      <alignment horizontal="left" vertical="top"/>
    </xf>
    <xf numFmtId="166" fontId="8" fillId="0" borderId="13" xfId="0" applyFont="1" applyFill="1" applyBorder="1" applyAlignment="1">
      <alignment horizontal="right" vertical="top"/>
    </xf>
    <xf numFmtId="166" fontId="8" fillId="0" borderId="14" xfId="0" applyFont="1" applyFill="1" applyBorder="1" applyAlignment="1">
      <alignment vertical="top"/>
    </xf>
    <xf numFmtId="166" fontId="9" fillId="2" borderId="2" xfId="0" applyFont="1" applyFill="1" applyBorder="1" applyAlignment="1">
      <alignment horizontal="left" vertical="top"/>
    </xf>
    <xf numFmtId="165" fontId="42" fillId="0" borderId="0" xfId="0" applyNumberFormat="1" applyFont="1" applyAlignment="1">
      <alignment horizontal="left"/>
    </xf>
    <xf numFmtId="166" fontId="22" fillId="0" borderId="0" xfId="0" quotePrefix="1" applyFont="1" applyFill="1" applyBorder="1" applyAlignment="1">
      <alignment horizontal="left" vertical="top"/>
    </xf>
    <xf numFmtId="166" fontId="22" fillId="0" borderId="0" xfId="0" applyFont="1" applyFill="1" applyBorder="1" applyAlignment="1">
      <alignment vertical="top"/>
    </xf>
    <xf numFmtId="166" fontId="22" fillId="0" borderId="4" xfId="0" applyFont="1" applyFill="1" applyBorder="1" applyAlignment="1">
      <alignment horizontal="left" vertical="top" wrapText="1"/>
    </xf>
    <xf numFmtId="166" fontId="8" fillId="0" borderId="7" xfId="0" applyFont="1" applyFill="1" applyBorder="1" applyAlignment="1">
      <alignment horizontal="right" vertical="top"/>
    </xf>
    <xf numFmtId="166" fontId="8" fillId="0" borderId="7" xfId="0" quotePrefix="1" applyNumberFormat="1" applyFont="1" applyFill="1" applyBorder="1" applyAlignment="1">
      <alignment vertical="top"/>
    </xf>
    <xf numFmtId="166" fontId="9" fillId="0" borderId="12" xfId="0" quotePrefix="1" applyNumberFormat="1" applyFont="1" applyFill="1" applyBorder="1" applyAlignment="1">
      <alignment vertical="top"/>
    </xf>
    <xf numFmtId="166" fontId="8" fillId="0" borderId="51" xfId="0" applyFont="1" applyBorder="1" applyAlignment="1">
      <alignment horizontal="right" vertical="top"/>
    </xf>
    <xf numFmtId="166" fontId="8" fillId="0" borderId="43" xfId="0" applyFont="1" applyBorder="1" applyAlignment="1">
      <alignment vertical="top"/>
    </xf>
    <xf numFmtId="166" fontId="22" fillId="9" borderId="51" xfId="0" applyFont="1" applyFill="1" applyBorder="1" applyAlignment="1">
      <alignment horizontal="left"/>
    </xf>
    <xf numFmtId="166" fontId="22" fillId="9" borderId="0" xfId="0" applyFont="1" applyFill="1" applyBorder="1" applyAlignment="1">
      <alignment horizontal="left"/>
    </xf>
    <xf numFmtId="165" fontId="22" fillId="9" borderId="52" xfId="2" applyNumberFormat="1" applyFont="1" applyFill="1" applyBorder="1" applyAlignment="1">
      <alignment horizontal="left"/>
    </xf>
    <xf numFmtId="166" fontId="28" fillId="9" borderId="51" xfId="0" applyFont="1" applyFill="1" applyBorder="1" applyAlignment="1">
      <alignment horizontal="left"/>
    </xf>
    <xf numFmtId="166" fontId="22" fillId="9" borderId="53" xfId="0" applyFont="1" applyFill="1" applyBorder="1" applyAlignment="1">
      <alignment horizontal="left"/>
    </xf>
    <xf numFmtId="166" fontId="22" fillId="9" borderId="46" xfId="0" applyFont="1" applyFill="1" applyBorder="1" applyAlignment="1">
      <alignment horizontal="left"/>
    </xf>
    <xf numFmtId="165" fontId="22" fillId="9" borderId="54" xfId="2" applyNumberFormat="1" applyFont="1" applyFill="1" applyBorder="1" applyAlignment="1">
      <alignment horizontal="left"/>
    </xf>
    <xf numFmtId="166" fontId="8" fillId="9" borderId="50" xfId="0" applyFont="1" applyFill="1" applyBorder="1" applyAlignment="1">
      <alignment horizontal="left"/>
    </xf>
    <xf numFmtId="166" fontId="8" fillId="0" borderId="43" xfId="0" applyFont="1" applyBorder="1" applyAlignment="1">
      <alignment horizontal="right" vertical="top"/>
    </xf>
    <xf numFmtId="166" fontId="8" fillId="0" borderId="55" xfId="0" applyFont="1" applyFill="1" applyBorder="1" applyAlignment="1">
      <alignment horizontal="right" vertical="top"/>
    </xf>
    <xf numFmtId="165" fontId="9" fillId="0" borderId="55" xfId="0" applyNumberFormat="1" applyFont="1" applyFill="1" applyBorder="1" applyAlignment="1">
      <alignment horizontal="left" vertical="top"/>
    </xf>
    <xf numFmtId="165" fontId="8" fillId="0" borderId="55" xfId="0" applyNumberFormat="1" applyFont="1" applyFill="1" applyBorder="1" applyAlignment="1">
      <alignment horizontal="left" vertical="top"/>
    </xf>
    <xf numFmtId="166" fontId="8" fillId="0" borderId="55" xfId="0" applyFont="1" applyFill="1" applyBorder="1" applyAlignment="1">
      <alignment vertical="top"/>
    </xf>
    <xf numFmtId="166" fontId="0" fillId="0" borderId="55" xfId="0" applyBorder="1" applyAlignment="1">
      <alignment vertical="top"/>
    </xf>
    <xf numFmtId="166" fontId="9" fillId="0" borderId="55" xfId="0" applyFont="1" applyFill="1" applyBorder="1" applyAlignment="1">
      <alignment horizontal="center" vertical="top"/>
    </xf>
    <xf numFmtId="166" fontId="0" fillId="0" borderId="49" xfId="0" applyFill="1" applyBorder="1" applyAlignment="1">
      <alignment vertical="top"/>
    </xf>
    <xf numFmtId="166" fontId="8" fillId="0" borderId="0" xfId="0" applyFont="1" applyBorder="1" applyAlignment="1">
      <alignment vertical="top"/>
    </xf>
    <xf numFmtId="166" fontId="37" fillId="0" borderId="12" xfId="0" applyFont="1" applyFill="1" applyBorder="1" applyAlignment="1">
      <alignment horizontal="right" vertical="top"/>
    </xf>
    <xf numFmtId="9" fontId="8" fillId="8" borderId="2" xfId="2" applyFont="1" applyFill="1" applyBorder="1" applyAlignment="1">
      <alignment horizontal="left" vertical="top"/>
    </xf>
    <xf numFmtId="166" fontId="20" fillId="0" borderId="0" xfId="0" applyFont="1" applyBorder="1" applyAlignment="1">
      <alignment vertical="top"/>
    </xf>
    <xf numFmtId="166" fontId="8" fillId="0" borderId="0" xfId="0" applyFont="1" applyFill="1" applyAlignment="1">
      <alignment horizontal="left" vertical="top" wrapText="1"/>
    </xf>
    <xf numFmtId="166" fontId="9" fillId="0" borderId="47" xfId="0" applyFont="1" applyFill="1" applyBorder="1" applyAlignment="1">
      <alignment vertical="top"/>
    </xf>
    <xf numFmtId="166" fontId="37" fillId="0" borderId="3" xfId="0" applyFont="1" applyFill="1" applyBorder="1" applyAlignment="1">
      <alignment horizontal="left" vertical="top"/>
    </xf>
    <xf numFmtId="166" fontId="12" fillId="0" borderId="3" xfId="0" applyFont="1" applyBorder="1" applyAlignment="1">
      <alignment vertical="top"/>
    </xf>
    <xf numFmtId="166" fontId="10" fillId="0" borderId="3" xfId="0" applyFont="1" applyBorder="1" applyAlignment="1">
      <alignment vertical="top"/>
    </xf>
    <xf numFmtId="166" fontId="13" fillId="0" borderId="3" xfId="0" applyFont="1" applyBorder="1" applyAlignment="1">
      <alignment vertical="top"/>
    </xf>
    <xf numFmtId="166" fontId="8" fillId="0" borderId="3" xfId="0" quotePrefix="1" applyFont="1" applyFill="1" applyBorder="1" applyAlignment="1">
      <alignment horizontal="right" vertical="top"/>
    </xf>
    <xf numFmtId="10" fontId="8" fillId="0" borderId="14" xfId="0" applyNumberFormat="1" applyFont="1" applyFill="1" applyBorder="1" applyAlignment="1">
      <alignment horizontal="left" vertical="top"/>
    </xf>
    <xf numFmtId="10" fontId="9" fillId="0" borderId="5" xfId="2" applyNumberFormat="1" applyFont="1" applyFill="1" applyBorder="1" applyAlignment="1">
      <alignment horizontal="left" vertical="top"/>
    </xf>
    <xf numFmtId="166" fontId="9" fillId="0" borderId="5" xfId="0" quotePrefix="1" applyFont="1" applyFill="1" applyBorder="1" applyAlignment="1">
      <alignment horizontal="left" vertical="top"/>
    </xf>
    <xf numFmtId="10" fontId="9" fillId="0" borderId="5" xfId="2" applyNumberFormat="1" applyFont="1" applyFill="1" applyBorder="1" applyAlignment="1">
      <alignment horizontal="left" vertical="top" wrapText="1"/>
    </xf>
    <xf numFmtId="166" fontId="22" fillId="0" borderId="5" xfId="0" applyNumberFormat="1" applyFont="1" applyFill="1" applyBorder="1" applyAlignment="1">
      <alignment horizontal="left" vertical="top"/>
    </xf>
    <xf numFmtId="166" fontId="21" fillId="0" borderId="0" xfId="0" applyFont="1" applyFill="1" applyBorder="1" applyAlignment="1">
      <alignment horizontal="left" vertical="top"/>
    </xf>
    <xf numFmtId="9" fontId="8" fillId="0" borderId="0" xfId="2" applyFont="1" applyFill="1" applyBorder="1" applyAlignment="1">
      <alignment horizontal="center" vertical="top"/>
    </xf>
    <xf numFmtId="2" fontId="8" fillId="0" borderId="0" xfId="2" applyNumberFormat="1" applyFont="1" applyFill="1" applyBorder="1" applyAlignment="1">
      <alignment horizontal="left" vertical="top"/>
    </xf>
    <xf numFmtId="10" fontId="8" fillId="0" borderId="0" xfId="0" applyNumberFormat="1" applyFont="1" applyFill="1" applyBorder="1" applyAlignment="1">
      <alignment horizontal="center" vertical="top"/>
    </xf>
    <xf numFmtId="2" fontId="42" fillId="0" borderId="0" xfId="2" applyNumberFormat="1" applyFont="1" applyFill="1" applyBorder="1" applyAlignment="1">
      <alignment horizontal="left" vertical="top"/>
    </xf>
    <xf numFmtId="9" fontId="8" fillId="0" borderId="0" xfId="2" applyNumberFormat="1" applyFont="1" applyFill="1" applyBorder="1" applyAlignment="1">
      <alignment horizontal="left" vertical="top"/>
    </xf>
    <xf numFmtId="10" fontId="51" fillId="0" borderId="7" xfId="0" applyNumberFormat="1" applyFont="1" applyFill="1" applyBorder="1" applyAlignment="1">
      <alignment horizontal="left" vertical="top"/>
    </xf>
    <xf numFmtId="166" fontId="8" fillId="10" borderId="56" xfId="0" applyFont="1" applyFill="1" applyBorder="1" applyAlignment="1">
      <alignment vertical="top"/>
    </xf>
    <xf numFmtId="10" fontId="21" fillId="0" borderId="4" xfId="2" quotePrefix="1" applyNumberFormat="1" applyFont="1" applyFill="1" applyBorder="1" applyAlignment="1">
      <alignment horizontal="left" vertical="top"/>
    </xf>
    <xf numFmtId="166" fontId="22" fillId="0" borderId="52" xfId="0" applyFont="1" applyBorder="1" applyAlignment="1">
      <alignment vertical="top"/>
    </xf>
    <xf numFmtId="166" fontId="8" fillId="0" borderId="49" xfId="0" applyNumberFormat="1" applyFont="1" applyBorder="1" applyAlignment="1">
      <alignment vertical="top"/>
    </xf>
    <xf numFmtId="166" fontId="65" fillId="0" borderId="51" xfId="0" applyFont="1" applyBorder="1" applyAlignment="1">
      <alignment vertical="top"/>
    </xf>
    <xf numFmtId="166" fontId="8" fillId="0" borderId="53" xfId="0" applyFont="1" applyBorder="1" applyAlignment="1">
      <alignment vertical="top"/>
    </xf>
    <xf numFmtId="166" fontId="8" fillId="0" borderId="0" xfId="0" applyFont="1" applyFill="1" applyBorder="1" applyAlignment="1">
      <alignment horizontal="left" vertical="top"/>
    </xf>
    <xf numFmtId="166" fontId="20" fillId="0" borderId="4" xfId="0" applyFont="1" applyBorder="1" applyAlignment="1">
      <alignment vertical="top"/>
    </xf>
    <xf numFmtId="166" fontId="8" fillId="0" borderId="0" xfId="0" quotePrefix="1" applyFont="1" applyFill="1"/>
    <xf numFmtId="166" fontId="9" fillId="5" borderId="9" xfId="0" applyFont="1" applyFill="1" applyBorder="1" applyAlignment="1">
      <alignment vertical="top"/>
    </xf>
    <xf numFmtId="10" fontId="8" fillId="0" borderId="0" xfId="0" quotePrefix="1" applyNumberFormat="1" applyFont="1" applyFill="1" applyBorder="1" applyAlignment="1">
      <alignment horizontal="left" vertical="top"/>
    </xf>
    <xf numFmtId="165" fontId="9" fillId="0" borderId="0" xfId="0" applyNumberFormat="1" applyFont="1" applyFill="1" applyAlignment="1">
      <alignment horizontal="left"/>
    </xf>
    <xf numFmtId="166" fontId="9" fillId="0" borderId="0" xfId="0" applyFont="1" applyFill="1" applyBorder="1" applyAlignment="1">
      <alignment horizontal="left"/>
    </xf>
    <xf numFmtId="9" fontId="49" fillId="4" borderId="0" xfId="0" applyNumberFormat="1" applyFont="1" applyFill="1" applyAlignment="1">
      <alignment horizontal="left"/>
    </xf>
    <xf numFmtId="166" fontId="49" fillId="4" borderId="0" xfId="0" applyFont="1" applyFill="1" applyAlignment="1">
      <alignment horizontal="left"/>
    </xf>
    <xf numFmtId="166" fontId="27" fillId="4" borderId="0" xfId="0" applyNumberFormat="1" applyFont="1" applyFill="1" applyBorder="1" applyAlignment="1">
      <alignment horizontal="left"/>
    </xf>
    <xf numFmtId="10" fontId="0" fillId="0" borderId="0" xfId="0" applyNumberFormat="1" applyBorder="1" applyAlignment="1">
      <alignment horizontal="left"/>
    </xf>
    <xf numFmtId="10" fontId="0" fillId="0" borderId="12" xfId="0" applyNumberFormat="1" applyBorder="1" applyAlignment="1">
      <alignment horizontal="left"/>
    </xf>
    <xf numFmtId="2" fontId="0" fillId="0" borderId="0" xfId="0" applyNumberFormat="1" applyBorder="1" applyAlignment="1">
      <alignment horizontal="left"/>
    </xf>
    <xf numFmtId="10" fontId="0" fillId="0" borderId="0" xfId="2" applyNumberFormat="1" applyFont="1" applyBorder="1" applyAlignment="1">
      <alignment horizontal="left"/>
    </xf>
    <xf numFmtId="10" fontId="22" fillId="0" borderId="12" xfId="0" applyNumberFormat="1" applyFont="1" applyBorder="1" applyAlignment="1">
      <alignment horizontal="left"/>
    </xf>
    <xf numFmtId="10" fontId="22" fillId="0" borderId="0" xfId="0" applyNumberFormat="1" applyFont="1" applyBorder="1" applyAlignment="1">
      <alignment horizontal="left"/>
    </xf>
    <xf numFmtId="165" fontId="22" fillId="0" borderId="0" xfId="2" applyNumberFormat="1" applyFont="1" applyBorder="1" applyAlignment="1">
      <alignment horizontal="left"/>
    </xf>
    <xf numFmtId="2" fontId="22" fillId="0" borderId="0" xfId="0" applyNumberFormat="1" applyFont="1" applyBorder="1" applyAlignment="1">
      <alignment horizontal="left"/>
    </xf>
    <xf numFmtId="10" fontId="22" fillId="0" borderId="12" xfId="2" applyNumberFormat="1" applyFont="1" applyBorder="1" applyAlignment="1">
      <alignment horizontal="left"/>
    </xf>
    <xf numFmtId="10" fontId="22" fillId="0" borderId="0" xfId="2" applyNumberFormat="1" applyFont="1" applyBorder="1" applyAlignment="1">
      <alignment horizontal="left"/>
    </xf>
    <xf numFmtId="166" fontId="8" fillId="0" borderId="0" xfId="0" applyFont="1" applyAlignment="1">
      <alignment horizontal="center"/>
    </xf>
    <xf numFmtId="166" fontId="59" fillId="0" borderId="0" xfId="0" applyFont="1" applyAlignment="1">
      <alignment horizontal="center"/>
    </xf>
    <xf numFmtId="166" fontId="42" fillId="0" borderId="0" xfId="0" applyFont="1" applyAlignment="1">
      <alignment horizontal="center"/>
    </xf>
    <xf numFmtId="166" fontId="8" fillId="0" borderId="0" xfId="0" applyFont="1" applyFill="1" applyBorder="1" applyAlignment="1">
      <alignment horizontal="right"/>
    </xf>
    <xf numFmtId="10" fontId="8" fillId="0" borderId="0" xfId="2" applyNumberFormat="1" applyFont="1" applyFill="1" applyAlignment="1">
      <alignment horizontal="left"/>
    </xf>
    <xf numFmtId="10" fontId="9" fillId="0" borderId="0" xfId="2" applyNumberFormat="1" applyFont="1" applyFill="1" applyBorder="1" applyAlignment="1">
      <alignment horizontal="left"/>
    </xf>
    <xf numFmtId="10" fontId="30" fillId="0" borderId="0" xfId="0" applyNumberFormat="1" applyFont="1" applyBorder="1" applyAlignment="1">
      <alignment horizontal="left"/>
    </xf>
    <xf numFmtId="10" fontId="30" fillId="0" borderId="12" xfId="0" applyNumberFormat="1" applyFont="1" applyBorder="1" applyAlignment="1">
      <alignment horizontal="left"/>
    </xf>
    <xf numFmtId="166" fontId="8" fillId="0" borderId="0" xfId="0" applyFont="1" applyBorder="1" applyAlignment="1">
      <alignment horizontal="center"/>
    </xf>
    <xf numFmtId="165" fontId="30" fillId="0" borderId="0" xfId="2" applyNumberFormat="1" applyFont="1" applyBorder="1" applyAlignment="1">
      <alignment horizontal="left"/>
    </xf>
    <xf numFmtId="2" fontId="21" fillId="0" borderId="0" xfId="0" applyNumberFormat="1" applyFont="1" applyBorder="1" applyAlignment="1">
      <alignment horizontal="left"/>
    </xf>
    <xf numFmtId="2" fontId="30" fillId="0" borderId="0" xfId="0" applyNumberFormat="1" applyFont="1" applyBorder="1" applyAlignment="1">
      <alignment horizontal="left"/>
    </xf>
    <xf numFmtId="10" fontId="9" fillId="0" borderId="12" xfId="0" applyNumberFormat="1" applyFont="1" applyBorder="1" applyAlignment="1">
      <alignment horizontal="left"/>
    </xf>
    <xf numFmtId="10" fontId="9" fillId="0" borderId="0" xfId="0" applyNumberFormat="1" applyFont="1" applyBorder="1" applyAlignment="1">
      <alignment horizontal="left"/>
    </xf>
    <xf numFmtId="10" fontId="28" fillId="0" borderId="0" xfId="2" applyNumberFormat="1" applyFont="1" applyBorder="1" applyAlignment="1">
      <alignment horizontal="left"/>
    </xf>
    <xf numFmtId="10" fontId="9" fillId="0" borderId="7" xfId="2" applyNumberFormat="1" applyFont="1" applyBorder="1" applyAlignment="1">
      <alignment horizontal="left"/>
    </xf>
    <xf numFmtId="10" fontId="8" fillId="0" borderId="7" xfId="2" applyNumberFormat="1" applyFont="1" applyBorder="1" applyAlignment="1">
      <alignment horizontal="left"/>
    </xf>
    <xf numFmtId="10" fontId="8" fillId="0" borderId="10" xfId="2" applyNumberFormat="1" applyFont="1" applyFill="1" applyBorder="1" applyAlignment="1">
      <alignment horizontal="left"/>
    </xf>
    <xf numFmtId="10" fontId="9" fillId="0" borderId="10" xfId="2" applyNumberFormat="1" applyFont="1" applyFill="1" applyBorder="1" applyAlignment="1">
      <alignment horizontal="left"/>
    </xf>
    <xf numFmtId="166" fontId="9" fillId="0" borderId="10" xfId="0" applyNumberFormat="1" applyFont="1" applyFill="1" applyBorder="1" applyAlignment="1">
      <alignment horizontal="left"/>
    </xf>
    <xf numFmtId="166" fontId="8" fillId="12" borderId="0" xfId="0" applyFont="1" applyFill="1" applyAlignment="1">
      <alignment horizontal="left"/>
    </xf>
    <xf numFmtId="166" fontId="50" fillId="12" borderId="0" xfId="1" applyNumberFormat="1" applyFont="1" applyFill="1" applyBorder="1" applyAlignment="1" applyProtection="1">
      <alignment wrapText="1"/>
    </xf>
    <xf numFmtId="166" fontId="0" fillId="12" borderId="0" xfId="0" applyNumberFormat="1" applyFill="1"/>
    <xf numFmtId="165" fontId="41" fillId="0" borderId="9" xfId="2" applyNumberFormat="1" applyFont="1" applyFill="1" applyBorder="1" applyAlignment="1">
      <alignment horizontal="left" vertical="top"/>
    </xf>
    <xf numFmtId="166" fontId="8" fillId="0" borderId="43" xfId="0" applyFont="1" applyBorder="1" applyAlignment="1">
      <alignment horizontal="left" vertical="top" wrapText="1"/>
    </xf>
    <xf numFmtId="166" fontId="9" fillId="0" borderId="46" xfId="0" applyFont="1" applyBorder="1" applyAlignment="1">
      <alignment vertical="top"/>
    </xf>
    <xf numFmtId="166" fontId="8" fillId="0" borderId="46" xfId="0" applyFont="1" applyFill="1" applyBorder="1" applyAlignment="1">
      <alignment vertical="top"/>
    </xf>
    <xf numFmtId="166" fontId="0" fillId="0" borderId="46" xfId="0" applyFill="1" applyBorder="1" applyAlignment="1">
      <alignment vertical="top"/>
    </xf>
    <xf numFmtId="166" fontId="0" fillId="0" borderId="50" xfId="0" applyFill="1" applyBorder="1" applyAlignment="1">
      <alignment vertical="top"/>
    </xf>
    <xf numFmtId="165" fontId="41" fillId="0" borderId="0" xfId="0" applyNumberFormat="1" applyFont="1" applyFill="1" applyBorder="1" applyAlignment="1">
      <alignment horizontal="left" vertical="top"/>
    </xf>
    <xf numFmtId="164" fontId="41" fillId="0" borderId="0" xfId="0" applyNumberFormat="1" applyFont="1" applyBorder="1" applyAlignment="1">
      <alignment horizontal="left"/>
    </xf>
    <xf numFmtId="166" fontId="0" fillId="0" borderId="0" xfId="0" applyAlignment="1"/>
    <xf numFmtId="10" fontId="9" fillId="0" borderId="0" xfId="2" applyNumberFormat="1" applyFont="1" applyFill="1" applyBorder="1" applyAlignment="1">
      <alignment horizontal="left" vertical="top"/>
    </xf>
    <xf numFmtId="10" fontId="9" fillId="0" borderId="0" xfId="2" applyNumberFormat="1" applyFont="1" applyFill="1" applyBorder="1" applyAlignment="1">
      <alignment horizontal="left" vertical="top" wrapText="1"/>
    </xf>
    <xf numFmtId="166" fontId="0" fillId="0" borderId="0" xfId="0" applyFill="1" applyAlignment="1"/>
    <xf numFmtId="166" fontId="9" fillId="2" borderId="0" xfId="0" applyNumberFormat="1" applyFont="1" applyFill="1" applyBorder="1" applyAlignment="1"/>
    <xf numFmtId="166" fontId="8" fillId="2" borderId="0" xfId="0" applyNumberFormat="1" applyFont="1" applyFill="1" applyAlignment="1"/>
    <xf numFmtId="166" fontId="8" fillId="0" borderId="0" xfId="0" applyNumberFormat="1" applyFont="1" applyFill="1" applyAlignment="1"/>
    <xf numFmtId="166" fontId="0" fillId="0" borderId="0" xfId="0" applyNumberFormat="1" applyFill="1" applyAlignment="1"/>
    <xf numFmtId="166" fontId="0" fillId="0" borderId="0" xfId="0" applyNumberFormat="1" applyAlignment="1"/>
    <xf numFmtId="166" fontId="9" fillId="0" borderId="0" xfId="0" applyNumberFormat="1" applyFont="1" applyFill="1" applyBorder="1" applyAlignment="1"/>
    <xf numFmtId="166" fontId="59" fillId="0" borderId="0" xfId="0" applyNumberFormat="1" applyFont="1" applyFill="1" applyBorder="1" applyAlignment="1"/>
    <xf numFmtId="166" fontId="0" fillId="0" borderId="10" xfId="0" applyNumberFormat="1" applyFill="1" applyBorder="1" applyAlignment="1"/>
    <xf numFmtId="166" fontId="9" fillId="0" borderId="10" xfId="0" applyNumberFormat="1" applyFont="1" applyFill="1" applyBorder="1" applyAlignment="1"/>
    <xf numFmtId="166" fontId="8" fillId="0" borderId="10" xfId="0" applyNumberFormat="1" applyFont="1" applyFill="1" applyBorder="1" applyAlignment="1"/>
    <xf numFmtId="166" fontId="9" fillId="14" borderId="0" xfId="0" applyNumberFormat="1" applyFont="1" applyFill="1" applyBorder="1" applyAlignment="1"/>
    <xf numFmtId="166" fontId="14" fillId="0" borderId="0" xfId="0" applyNumberFormat="1" applyFont="1" applyFill="1" applyAlignment="1"/>
    <xf numFmtId="166" fontId="59" fillId="0" borderId="0" xfId="0" applyNumberFormat="1" applyFont="1" applyFill="1" applyAlignment="1"/>
    <xf numFmtId="166" fontId="8" fillId="0" borderId="0" xfId="0" applyFont="1" applyBorder="1" applyAlignment="1"/>
    <xf numFmtId="166" fontId="0" fillId="0" borderId="0" xfId="0" applyBorder="1" applyAlignment="1"/>
    <xf numFmtId="166" fontId="9" fillId="0" borderId="10" xfId="0" applyFont="1" applyBorder="1" applyAlignment="1"/>
    <xf numFmtId="166" fontId="22" fillId="0" borderId="10" xfId="0" applyFont="1" applyBorder="1" applyAlignment="1"/>
    <xf numFmtId="166" fontId="8" fillId="0" borderId="10" xfId="0" applyFont="1" applyBorder="1" applyAlignment="1"/>
    <xf numFmtId="166" fontId="22" fillId="0" borderId="12" xfId="0" applyFont="1" applyBorder="1" applyAlignment="1"/>
    <xf numFmtId="166" fontId="22" fillId="0" borderId="0" xfId="0" applyFont="1" applyBorder="1" applyAlignment="1"/>
    <xf numFmtId="10" fontId="22" fillId="0" borderId="0" xfId="0" applyNumberFormat="1" applyFont="1" applyBorder="1" applyAlignment="1"/>
    <xf numFmtId="166" fontId="42" fillId="0" borderId="0" xfId="0" applyFont="1" applyBorder="1" applyAlignment="1"/>
    <xf numFmtId="10" fontId="30" fillId="0" borderId="0" xfId="0" applyNumberFormat="1" applyFont="1" applyBorder="1" applyAlignment="1"/>
    <xf numFmtId="166" fontId="30" fillId="0" borderId="0" xfId="0" applyFont="1" applyBorder="1" applyAlignment="1"/>
    <xf numFmtId="166" fontId="8" fillId="0" borderId="12" xfId="0" applyFont="1" applyBorder="1" applyAlignment="1"/>
    <xf numFmtId="166" fontId="8" fillId="0" borderId="7" xfId="0" applyFont="1" applyBorder="1" applyAlignment="1"/>
    <xf numFmtId="166" fontId="44" fillId="0" borderId="0" xfId="0" applyFont="1" applyBorder="1" applyAlignment="1"/>
    <xf numFmtId="166" fontId="9" fillId="0" borderId="12" xfId="0" applyFont="1" applyBorder="1" applyAlignment="1"/>
    <xf numFmtId="166" fontId="0" fillId="0" borderId="7" xfId="0" applyBorder="1" applyAlignment="1"/>
    <xf numFmtId="166" fontId="22" fillId="0" borderId="7" xfId="0" applyFont="1" applyBorder="1" applyAlignment="1"/>
    <xf numFmtId="10" fontId="8" fillId="0" borderId="0" xfId="0" applyNumberFormat="1" applyFont="1" applyFill="1" applyBorder="1" applyAlignment="1">
      <alignment horizontal="left" indent="1"/>
    </xf>
    <xf numFmtId="10" fontId="44" fillId="0" borderId="0" xfId="0" applyNumberFormat="1" applyFont="1" applyFill="1" applyBorder="1" applyAlignment="1">
      <alignment horizontal="left"/>
    </xf>
    <xf numFmtId="166" fontId="8" fillId="0" borderId="6" xfId="0" applyFont="1" applyFill="1" applyBorder="1" applyAlignment="1">
      <alignment vertical="top"/>
    </xf>
    <xf numFmtId="166" fontId="9" fillId="0" borderId="9" xfId="0" applyFont="1" applyFill="1" applyBorder="1" applyAlignment="1">
      <alignment vertical="top"/>
    </xf>
    <xf numFmtId="166" fontId="9" fillId="0" borderId="10" xfId="0" applyFont="1" applyFill="1" applyBorder="1" applyAlignment="1">
      <alignment vertical="top"/>
    </xf>
    <xf numFmtId="166" fontId="9" fillId="0" borderId="10" xfId="0" quotePrefix="1" applyNumberFormat="1" applyFont="1" applyFill="1" applyBorder="1" applyAlignment="1">
      <alignment vertical="top"/>
    </xf>
    <xf numFmtId="166" fontId="8" fillId="0" borderId="1" xfId="0" quotePrefix="1" applyNumberFormat="1" applyFont="1" applyFill="1" applyBorder="1" applyAlignment="1">
      <alignment vertical="top"/>
    </xf>
    <xf numFmtId="166" fontId="9" fillId="0" borderId="10" xfId="0" applyFont="1" applyFill="1" applyBorder="1" applyAlignment="1">
      <alignment horizontal="right" vertical="top"/>
    </xf>
    <xf numFmtId="166" fontId="9" fillId="0" borderId="13" xfId="0" applyFont="1" applyFill="1" applyBorder="1" applyAlignment="1">
      <alignment vertical="top"/>
    </xf>
    <xf numFmtId="166" fontId="9" fillId="0" borderId="12" xfId="0" applyFont="1" applyFill="1" applyBorder="1" applyAlignment="1">
      <alignment vertical="top"/>
    </xf>
    <xf numFmtId="166" fontId="9" fillId="0" borderId="12" xfId="0" applyFont="1" applyFill="1" applyBorder="1" applyAlignment="1">
      <alignment horizontal="right" vertical="top"/>
    </xf>
    <xf numFmtId="166" fontId="8" fillId="0" borderId="14" xfId="0" quotePrefix="1" applyNumberFormat="1" applyFont="1" applyFill="1" applyBorder="1" applyAlignment="1">
      <alignment vertical="top"/>
    </xf>
    <xf numFmtId="166" fontId="8" fillId="0" borderId="8" xfId="0" quotePrefix="1" applyNumberFormat="1" applyFont="1" applyFill="1" applyBorder="1" applyAlignment="1">
      <alignment vertical="top"/>
    </xf>
    <xf numFmtId="166" fontId="22" fillId="0" borderId="47" xfId="0" applyFont="1" applyBorder="1" applyAlignment="1">
      <alignment vertical="top"/>
    </xf>
    <xf numFmtId="166" fontId="22" fillId="0" borderId="13" xfId="0" applyFont="1" applyBorder="1" applyAlignment="1">
      <alignment vertical="top"/>
    </xf>
    <xf numFmtId="166" fontId="22" fillId="0" borderId="12" xfId="0" applyFont="1" applyBorder="1" applyAlignment="1">
      <alignment vertical="top"/>
    </xf>
    <xf numFmtId="9" fontId="42" fillId="0" borderId="12" xfId="2" applyFont="1" applyFill="1" applyBorder="1" applyAlignment="1">
      <alignment horizontal="left" vertical="top"/>
    </xf>
    <xf numFmtId="166" fontId="22" fillId="0" borderId="12" xfId="0" applyNumberFormat="1" applyFont="1" applyFill="1" applyBorder="1" applyAlignment="1">
      <alignment horizontal="left" vertical="top"/>
    </xf>
    <xf numFmtId="166" fontId="8" fillId="0" borderId="12" xfId="0" applyNumberFormat="1" applyFont="1" applyFill="1" applyBorder="1" applyAlignment="1">
      <alignment horizontal="left" vertical="top"/>
    </xf>
    <xf numFmtId="166" fontId="8" fillId="0" borderId="14" xfId="0" applyNumberFormat="1" applyFont="1" applyFill="1" applyBorder="1" applyAlignment="1">
      <alignment horizontal="left" vertical="top"/>
    </xf>
    <xf numFmtId="166" fontId="22" fillId="0" borderId="58" xfId="0" applyFont="1" applyBorder="1" applyAlignment="1">
      <alignment vertical="top"/>
    </xf>
    <xf numFmtId="166" fontId="8" fillId="0" borderId="12" xfId="0" applyFont="1" applyBorder="1" applyAlignment="1">
      <alignment vertical="top"/>
    </xf>
    <xf numFmtId="166" fontId="8" fillId="0" borderId="58" xfId="0" applyFont="1" applyBorder="1" applyAlignment="1">
      <alignment vertical="top"/>
    </xf>
    <xf numFmtId="166" fontId="9" fillId="0" borderId="12" xfId="0" applyFont="1" applyFill="1" applyBorder="1" applyAlignment="1">
      <alignment horizontal="left" vertical="top"/>
    </xf>
    <xf numFmtId="2" fontId="9" fillId="0" borderId="12" xfId="0" quotePrefix="1" applyNumberFormat="1" applyFont="1" applyFill="1" applyBorder="1" applyAlignment="1">
      <alignment horizontal="left" vertical="top"/>
    </xf>
    <xf numFmtId="166" fontId="9" fillId="0" borderId="10" xfId="0" applyNumberFormat="1" applyFont="1" applyFill="1" applyBorder="1" applyAlignment="1">
      <alignment horizontal="left" indent="1"/>
    </xf>
    <xf numFmtId="166" fontId="0" fillId="0" borderId="10" xfId="0" applyNumberFormat="1" applyFill="1" applyBorder="1" applyAlignment="1">
      <alignment horizontal="left" indent="1"/>
    </xf>
    <xf numFmtId="165" fontId="8" fillId="0" borderId="10" xfId="2" applyNumberFormat="1" applyFont="1" applyFill="1" applyBorder="1" applyAlignment="1">
      <alignment horizontal="left" indent="1"/>
    </xf>
    <xf numFmtId="166" fontId="27" fillId="4" borderId="0" xfId="0" applyFont="1" applyFill="1"/>
    <xf numFmtId="166" fontId="27" fillId="0" borderId="0" xfId="0" applyFont="1" applyFill="1"/>
    <xf numFmtId="166" fontId="59" fillId="6" borderId="0" xfId="0" applyFont="1" applyFill="1"/>
    <xf numFmtId="10" fontId="38" fillId="6" borderId="0" xfId="2" quotePrefix="1" applyNumberFormat="1" applyFont="1" applyFill="1" applyBorder="1" applyAlignment="1">
      <alignment horizontal="left" vertical="top"/>
    </xf>
    <xf numFmtId="166" fontId="0" fillId="6" borderId="0" xfId="0" applyFill="1"/>
    <xf numFmtId="165" fontId="8" fillId="0" borderId="57" xfId="0" applyNumberFormat="1" applyFont="1" applyFill="1" applyBorder="1" applyAlignment="1">
      <alignment horizontal="left" indent="1"/>
    </xf>
    <xf numFmtId="165" fontId="8" fillId="0" borderId="12" xfId="2" applyNumberFormat="1" applyFont="1" applyFill="1" applyBorder="1" applyAlignment="1">
      <alignment horizontal="left"/>
    </xf>
    <xf numFmtId="165" fontId="0" fillId="0" borderId="12" xfId="2" applyNumberFormat="1" applyFont="1" applyFill="1" applyBorder="1" applyAlignment="1">
      <alignment horizontal="left"/>
    </xf>
    <xf numFmtId="165" fontId="9" fillId="0" borderId="12" xfId="2" applyNumberFormat="1" applyFont="1" applyFill="1" applyBorder="1" applyAlignment="1">
      <alignment horizontal="left"/>
    </xf>
    <xf numFmtId="10" fontId="8" fillId="0" borderId="57" xfId="0" applyNumberFormat="1" applyFont="1" applyFill="1" applyBorder="1" applyAlignment="1">
      <alignment horizontal="left" indent="1"/>
    </xf>
    <xf numFmtId="166" fontId="49" fillId="11" borderId="7" xfId="0" applyNumberFormat="1" applyFont="1" applyFill="1" applyBorder="1" applyAlignment="1">
      <alignment horizontal="left" vertical="top"/>
    </xf>
    <xf numFmtId="14" fontId="74" fillId="0" borderId="0" xfId="5" applyNumberFormat="1" applyFont="1" applyFill="1" applyAlignment="1">
      <alignment horizontal="right"/>
    </xf>
    <xf numFmtId="9" fontId="8" fillId="13" borderId="35" xfId="2" applyFont="1" applyFill="1" applyBorder="1" applyAlignment="1">
      <alignment horizontal="left" vertical="top"/>
    </xf>
    <xf numFmtId="166" fontId="27" fillId="4" borderId="0" xfId="0" applyFont="1" applyFill="1" applyAlignment="1">
      <alignment horizontal="left"/>
    </xf>
    <xf numFmtId="166" fontId="40" fillId="0" borderId="13" xfId="0" applyNumberFormat="1" applyFont="1" applyFill="1" applyBorder="1" applyAlignment="1">
      <alignment horizontal="left" vertical="top"/>
    </xf>
    <xf numFmtId="166" fontId="39" fillId="0" borderId="12" xfId="0" applyNumberFormat="1" applyFont="1" applyFill="1" applyBorder="1" applyAlignment="1">
      <alignment horizontal="left" vertical="top"/>
    </xf>
    <xf numFmtId="166" fontId="40" fillId="0" borderId="12" xfId="0" applyNumberFormat="1" applyFont="1" applyFill="1" applyBorder="1" applyAlignment="1">
      <alignment horizontal="left" vertical="top"/>
    </xf>
    <xf numFmtId="166" fontId="40" fillId="0" borderId="23" xfId="0" applyNumberFormat="1" applyFont="1" applyFill="1" applyBorder="1" applyAlignment="1">
      <alignment horizontal="left" vertical="top"/>
    </xf>
    <xf numFmtId="166" fontId="8" fillId="0" borderId="22" xfId="0" applyNumberFormat="1" applyFont="1" applyFill="1" applyBorder="1" applyAlignment="1">
      <alignment horizontal="left" vertical="top"/>
    </xf>
    <xf numFmtId="164" fontId="8" fillId="13" borderId="15" xfId="0" applyNumberFormat="1" applyFont="1" applyFill="1" applyBorder="1" applyAlignment="1">
      <alignment horizontal="left" vertical="top"/>
    </xf>
    <xf numFmtId="166" fontId="8" fillId="0" borderId="16" xfId="0" applyNumberFormat="1" applyFont="1" applyBorder="1" applyAlignment="1">
      <alignment vertical="top"/>
    </xf>
    <xf numFmtId="166" fontId="8" fillId="0" borderId="17" xfId="0" applyNumberFormat="1" applyFont="1" applyBorder="1" applyAlignment="1">
      <alignment vertical="top"/>
    </xf>
    <xf numFmtId="2" fontId="8" fillId="13" borderId="10" xfId="0" applyNumberFormat="1" applyFont="1" applyFill="1" applyBorder="1" applyAlignment="1">
      <alignment horizontal="left" vertical="top"/>
    </xf>
    <xf numFmtId="1" fontId="75" fillId="0" borderId="4" xfId="0" applyNumberFormat="1" applyFont="1" applyFill="1" applyBorder="1" applyAlignment="1">
      <alignment horizontal="left" vertical="top"/>
    </xf>
    <xf numFmtId="1" fontId="75" fillId="0" borderId="0" xfId="0" applyNumberFormat="1" applyFont="1" applyFill="1" applyBorder="1" applyAlignment="1">
      <alignment horizontal="left" vertical="top"/>
    </xf>
    <xf numFmtId="1" fontId="75" fillId="0" borderId="21" xfId="0" applyNumberFormat="1" applyFont="1" applyFill="1" applyBorder="1" applyAlignment="1">
      <alignment horizontal="left" vertical="top"/>
    </xf>
    <xf numFmtId="1" fontId="75" fillId="0" borderId="22" xfId="0" applyNumberFormat="1" applyFont="1" applyBorder="1" applyAlignment="1">
      <alignment vertical="top"/>
    </xf>
    <xf numFmtId="2" fontId="8" fillId="16" borderId="12" xfId="0" applyNumberFormat="1" applyFont="1" applyFill="1" applyBorder="1" applyAlignment="1">
      <alignment horizontal="left" vertical="top"/>
    </xf>
    <xf numFmtId="2" fontId="33" fillId="16" borderId="0" xfId="0" applyNumberFormat="1" applyFont="1" applyFill="1" applyBorder="1" applyAlignment="1">
      <alignment horizontal="left" vertical="top"/>
    </xf>
    <xf numFmtId="2" fontId="8" fillId="16" borderId="0" xfId="0" applyNumberFormat="1" applyFont="1" applyFill="1" applyBorder="1" applyAlignment="1">
      <alignment horizontal="left" vertical="top"/>
    </xf>
    <xf numFmtId="2" fontId="41" fillId="16" borderId="0" xfId="0" applyNumberFormat="1" applyFont="1" applyFill="1" applyBorder="1" applyAlignment="1">
      <alignment horizontal="left" vertical="top"/>
    </xf>
    <xf numFmtId="2" fontId="41" fillId="16" borderId="7" xfId="0" applyNumberFormat="1" applyFont="1" applyFill="1" applyBorder="1" applyAlignment="1">
      <alignment horizontal="left" vertical="top"/>
    </xf>
    <xf numFmtId="2" fontId="8" fillId="16" borderId="25" xfId="0" applyNumberFormat="1" applyFont="1" applyFill="1" applyBorder="1" applyAlignment="1">
      <alignment horizontal="left" vertical="top"/>
    </xf>
    <xf numFmtId="1" fontId="75" fillId="0" borderId="4" xfId="0" applyNumberFormat="1" applyFont="1" applyBorder="1" applyAlignment="1">
      <alignment horizontal="left" vertical="top"/>
    </xf>
    <xf numFmtId="1" fontId="75" fillId="0" borderId="0" xfId="0" applyNumberFormat="1" applyFont="1" applyBorder="1" applyAlignment="1">
      <alignment horizontal="left" vertical="top"/>
    </xf>
    <xf numFmtId="1" fontId="75" fillId="0" borderId="21" xfId="0" applyNumberFormat="1" applyFont="1" applyBorder="1" applyAlignment="1">
      <alignment horizontal="left" vertical="top"/>
    </xf>
    <xf numFmtId="2" fontId="8" fillId="16" borderId="26" xfId="0" applyNumberFormat="1" applyFont="1" applyFill="1" applyBorder="1" applyAlignment="1">
      <alignment horizontal="left" vertical="top"/>
    </xf>
    <xf numFmtId="2" fontId="40" fillId="0" borderId="27" xfId="0" applyNumberFormat="1" applyFont="1" applyFill="1" applyBorder="1" applyAlignment="1">
      <alignment horizontal="left" vertical="top"/>
    </xf>
    <xf numFmtId="2" fontId="39" fillId="0" borderId="28" xfId="0" applyNumberFormat="1" applyFont="1" applyFill="1" applyBorder="1" applyAlignment="1">
      <alignment horizontal="left" vertical="top"/>
    </xf>
    <xf numFmtId="2" fontId="40" fillId="0" borderId="28" xfId="0" applyNumberFormat="1" applyFont="1" applyFill="1" applyBorder="1" applyAlignment="1">
      <alignment horizontal="left" vertical="top"/>
    </xf>
    <xf numFmtId="2" fontId="40" fillId="0" borderId="29" xfId="0" applyNumberFormat="1" applyFont="1" applyFill="1" applyBorder="1" applyAlignment="1">
      <alignment horizontal="left" vertical="top"/>
    </xf>
    <xf numFmtId="166" fontId="4" fillId="0" borderId="13" xfId="3" applyFont="1" applyBorder="1" applyAlignment="1">
      <alignment horizontal="left" vertical="top"/>
    </xf>
    <xf numFmtId="166" fontId="4" fillId="0" borderId="12" xfId="3" applyFont="1" applyBorder="1" applyAlignment="1">
      <alignment horizontal="left" vertical="top"/>
    </xf>
    <xf numFmtId="166" fontId="4" fillId="0" borderId="12" xfId="3" applyNumberFormat="1" applyFont="1" applyFill="1" applyBorder="1" applyAlignment="1">
      <alignment horizontal="left" vertical="top"/>
    </xf>
    <xf numFmtId="166" fontId="4" fillId="0" borderId="12" xfId="3" applyFont="1" applyBorder="1" applyAlignment="1">
      <alignment horizontal="left" vertical="top" wrapText="1"/>
    </xf>
    <xf numFmtId="166" fontId="4" fillId="0" borderId="12" xfId="3" applyFont="1" applyBorder="1" applyAlignment="1">
      <alignment horizontal="center" vertical="top"/>
    </xf>
    <xf numFmtId="166" fontId="9" fillId="0" borderId="12" xfId="3" applyFont="1" applyBorder="1" applyAlignment="1">
      <alignment horizontal="center" vertical="top"/>
    </xf>
    <xf numFmtId="166" fontId="8" fillId="0" borderId="12" xfId="3" applyFont="1" applyBorder="1" applyAlignment="1">
      <alignment horizontal="left" vertical="top"/>
    </xf>
    <xf numFmtId="9" fontId="8" fillId="0" borderId="36" xfId="2" applyFont="1" applyFill="1" applyBorder="1" applyAlignment="1">
      <alignment horizontal="left" vertical="top"/>
    </xf>
    <xf numFmtId="9" fontId="8" fillId="0" borderId="39" xfId="2" applyFont="1" applyFill="1" applyBorder="1" applyAlignment="1">
      <alignment horizontal="left" vertical="top"/>
    </xf>
    <xf numFmtId="9" fontId="8" fillId="13" borderId="39" xfId="2" applyFont="1" applyFill="1" applyBorder="1" applyAlignment="1">
      <alignment horizontal="left" vertical="top"/>
    </xf>
    <xf numFmtId="9" fontId="8" fillId="3" borderId="2" xfId="2" applyFont="1" applyFill="1" applyBorder="1" applyAlignment="1">
      <alignment horizontal="left" vertical="top"/>
    </xf>
    <xf numFmtId="166" fontId="8" fillId="0" borderId="4" xfId="0" applyFont="1" applyFill="1" applyBorder="1" applyAlignment="1">
      <alignment horizontal="left" vertical="top" indent="1"/>
    </xf>
    <xf numFmtId="166" fontId="8" fillId="0" borderId="4" xfId="0" applyFont="1" applyFill="1" applyBorder="1" applyAlignment="1">
      <alignment horizontal="left" vertical="top"/>
    </xf>
    <xf numFmtId="166" fontId="8" fillId="0" borderId="0" xfId="0" applyFont="1" applyFill="1" applyBorder="1" applyAlignment="1">
      <alignment horizontal="left" vertical="top"/>
    </xf>
    <xf numFmtId="166" fontId="9" fillId="0" borderId="4" xfId="0" quotePrefix="1" applyFont="1" applyBorder="1" applyAlignment="1">
      <alignment horizontal="left" vertical="top"/>
    </xf>
    <xf numFmtId="166" fontId="9" fillId="0" borderId="0" xfId="0" quotePrefix="1" applyFont="1" applyBorder="1" applyAlignment="1">
      <alignment horizontal="left" vertical="top"/>
    </xf>
    <xf numFmtId="166" fontId="8" fillId="0" borderId="4" xfId="0" quotePrefix="1" applyFont="1" applyBorder="1" applyAlignment="1">
      <alignment horizontal="left" vertical="top"/>
    </xf>
    <xf numFmtId="166" fontId="8" fillId="0" borderId="0" xfId="0" quotePrefix="1" applyFont="1" applyBorder="1" applyAlignment="1">
      <alignment horizontal="left" vertical="top"/>
    </xf>
    <xf numFmtId="164" fontId="42" fillId="0" borderId="0" xfId="0" applyNumberFormat="1" applyFont="1" applyBorder="1" applyAlignment="1">
      <alignment horizontal="left" vertical="top"/>
    </xf>
    <xf numFmtId="166" fontId="8" fillId="3" borderId="13" xfId="0" applyFont="1" applyFill="1" applyBorder="1" applyAlignment="1">
      <alignment horizontal="left" vertical="top"/>
    </xf>
    <xf numFmtId="166" fontId="8" fillId="0" borderId="18" xfId="0" applyFont="1" applyFill="1" applyBorder="1" applyAlignment="1">
      <alignment horizontal="left" vertical="top"/>
    </xf>
    <xf numFmtId="166" fontId="76" fillId="9" borderId="9" xfId="0" applyFont="1" applyFill="1" applyBorder="1" applyAlignment="1">
      <alignment horizontal="left" vertical="top"/>
    </xf>
    <xf numFmtId="166" fontId="22" fillId="0" borderId="30" xfId="0" applyFont="1" applyFill="1" applyBorder="1" applyAlignment="1">
      <alignment horizontal="left" vertical="top"/>
    </xf>
    <xf numFmtId="166" fontId="22" fillId="0" borderId="13" xfId="0" applyFont="1" applyFill="1" applyBorder="1" applyAlignment="1">
      <alignment horizontal="left" vertical="top"/>
    </xf>
    <xf numFmtId="9" fontId="22" fillId="0" borderId="30" xfId="2" applyFont="1" applyFill="1" applyBorder="1" applyAlignment="1">
      <alignment horizontal="left" vertical="top"/>
    </xf>
    <xf numFmtId="9" fontId="22" fillId="0" borderId="6" xfId="2" applyFont="1" applyFill="1" applyBorder="1" applyAlignment="1">
      <alignment horizontal="left" vertical="top"/>
    </xf>
    <xf numFmtId="166" fontId="8" fillId="0" borderId="0" xfId="0" applyFont="1" applyFill="1" applyBorder="1" applyAlignment="1"/>
    <xf numFmtId="10" fontId="20" fillId="0" borderId="2" xfId="2" applyNumberFormat="1" applyFont="1" applyFill="1" applyBorder="1" applyAlignment="1">
      <alignment horizontal="left" vertical="top"/>
    </xf>
    <xf numFmtId="164" fontId="8" fillId="0" borderId="12" xfId="0" applyNumberFormat="1" applyFont="1" applyFill="1" applyBorder="1" applyAlignment="1">
      <alignment horizontal="left" vertical="top"/>
    </xf>
    <xf numFmtId="9" fontId="0" fillId="0" borderId="0" xfId="0" applyNumberFormat="1" applyBorder="1" applyAlignment="1"/>
    <xf numFmtId="9" fontId="0" fillId="0" borderId="0" xfId="0" applyNumberFormat="1" applyBorder="1" applyAlignment="1">
      <alignment horizontal="left"/>
    </xf>
    <xf numFmtId="166" fontId="8" fillId="0" borderId="10" xfId="0" applyNumberFormat="1" applyFont="1" applyFill="1" applyBorder="1" applyAlignment="1">
      <alignment horizontal="left" indent="1"/>
    </xf>
    <xf numFmtId="165" fontId="9" fillId="0" borderId="10" xfId="2" applyNumberFormat="1" applyFont="1" applyFill="1" applyBorder="1" applyAlignment="1">
      <alignment horizontal="left"/>
    </xf>
    <xf numFmtId="165" fontId="8" fillId="0" borderId="10" xfId="2" applyNumberFormat="1" applyFont="1" applyFill="1" applyBorder="1" applyAlignment="1">
      <alignment horizontal="left"/>
    </xf>
    <xf numFmtId="10" fontId="0" fillId="0" borderId="12" xfId="0" applyNumberFormat="1" applyBorder="1" applyAlignment="1"/>
    <xf numFmtId="10" fontId="0" fillId="0" borderId="0" xfId="0" applyNumberFormat="1" applyBorder="1" applyAlignment="1"/>
    <xf numFmtId="164" fontId="0" fillId="0" borderId="0" xfId="0" applyNumberFormat="1" applyBorder="1" applyAlignment="1">
      <alignment horizontal="left"/>
    </xf>
    <xf numFmtId="164" fontId="8" fillId="0" borderId="13" xfId="0" applyNumberFormat="1" applyFont="1" applyFill="1" applyBorder="1" applyAlignment="1">
      <alignment horizontal="left" vertical="top"/>
    </xf>
    <xf numFmtId="10" fontId="8" fillId="0" borderId="0" xfId="0" applyNumberFormat="1" applyFont="1" applyBorder="1" applyAlignment="1">
      <alignment horizontal="center"/>
    </xf>
    <xf numFmtId="166" fontId="8" fillId="0" borderId="0" xfId="0" applyFont="1" applyFill="1" applyBorder="1" applyAlignment="1">
      <alignment horizontal="left" vertical="top"/>
    </xf>
    <xf numFmtId="0" fontId="42" fillId="0" borderId="0" xfId="0" applyNumberFormat="1" applyFont="1" applyBorder="1" applyAlignment="1">
      <alignment horizontal="right" vertical="top"/>
    </xf>
    <xf numFmtId="0" fontId="22" fillId="0" borderId="3" xfId="0" applyNumberFormat="1" applyFont="1" applyBorder="1" applyAlignment="1">
      <alignment vertical="top"/>
    </xf>
    <xf numFmtId="0" fontId="62" fillId="9" borderId="4" xfId="0" applyNumberFormat="1" applyFont="1" applyFill="1" applyBorder="1" applyAlignment="1">
      <alignment horizontal="left" vertical="top"/>
    </xf>
    <xf numFmtId="0" fontId="63" fillId="9" borderId="0" xfId="0" applyNumberFormat="1" applyFont="1" applyFill="1" applyBorder="1" applyAlignment="1">
      <alignment horizontal="left" vertical="top"/>
    </xf>
    <xf numFmtId="0" fontId="63" fillId="9" borderId="4" xfId="0" applyNumberFormat="1" applyFont="1" applyFill="1" applyBorder="1" applyAlignment="1">
      <alignment horizontal="left" vertical="top"/>
    </xf>
    <xf numFmtId="0" fontId="22" fillId="0" borderId="0" xfId="0" applyNumberFormat="1" applyFont="1" applyBorder="1" applyAlignment="1">
      <alignment vertical="top"/>
    </xf>
    <xf numFmtId="0" fontId="42" fillId="0" borderId="0" xfId="0" applyNumberFormat="1" applyFont="1" applyBorder="1" applyAlignment="1">
      <alignment vertical="top"/>
    </xf>
    <xf numFmtId="0" fontId="8" fillId="0" borderId="0" xfId="0" applyNumberFormat="1" applyFont="1" applyFill="1" applyBorder="1" applyAlignment="1">
      <alignment horizontal="left" vertical="top"/>
    </xf>
    <xf numFmtId="0" fontId="8" fillId="0" borderId="5" xfId="0" applyNumberFormat="1" applyFont="1" applyFill="1" applyBorder="1" applyAlignment="1">
      <alignment horizontal="left" vertical="top"/>
    </xf>
    <xf numFmtId="0" fontId="65" fillId="0" borderId="0" xfId="0" applyNumberFormat="1" applyFont="1" applyBorder="1" applyAlignment="1">
      <alignment vertical="top"/>
    </xf>
    <xf numFmtId="0" fontId="22" fillId="0" borderId="51" xfId="0" applyNumberFormat="1" applyFont="1" applyBorder="1" applyAlignment="1">
      <alignment vertical="top"/>
    </xf>
    <xf numFmtId="0" fontId="22" fillId="0" borderId="52" xfId="0" applyNumberFormat="1" applyFont="1" applyBorder="1" applyAlignment="1">
      <alignment vertical="top"/>
    </xf>
    <xf numFmtId="0" fontId="8" fillId="0" borderId="0" xfId="0" applyNumberFormat="1" applyFont="1" applyBorder="1" applyAlignment="1">
      <alignment vertical="top"/>
    </xf>
    <xf numFmtId="0" fontId="63" fillId="9" borderId="0" xfId="0" applyNumberFormat="1" applyFont="1" applyFill="1" applyBorder="1" applyAlignment="1">
      <alignment vertical="top"/>
    </xf>
    <xf numFmtId="0" fontId="22" fillId="0" borderId="4" xfId="0" applyNumberFormat="1" applyFont="1" applyBorder="1" applyAlignment="1">
      <alignment vertical="top"/>
    </xf>
    <xf numFmtId="0" fontId="9" fillId="0" borderId="0" xfId="0" applyNumberFormat="1" applyFont="1" applyFill="1" applyBorder="1" applyAlignment="1">
      <alignment horizontal="left" vertical="top"/>
    </xf>
    <xf numFmtId="0" fontId="8" fillId="0" borderId="0" xfId="0" quotePrefix="1" applyNumberFormat="1" applyFont="1" applyFill="1" applyBorder="1" applyAlignment="1">
      <alignment horizontal="left" vertical="top"/>
    </xf>
    <xf numFmtId="0" fontId="63" fillId="9" borderId="4" xfId="0" applyNumberFormat="1" applyFont="1" applyFill="1" applyBorder="1" applyAlignment="1">
      <alignment vertical="top"/>
    </xf>
    <xf numFmtId="0" fontId="42" fillId="0" borderId="0" xfId="2" applyNumberFormat="1" applyFont="1" applyFill="1" applyBorder="1" applyAlignment="1">
      <alignment horizontal="left" vertical="top"/>
    </xf>
    <xf numFmtId="0" fontId="22" fillId="0" borderId="3" xfId="0" applyNumberFormat="1" applyFont="1" applyFill="1" applyBorder="1" applyAlignment="1">
      <alignment horizontal="left" vertical="top"/>
    </xf>
    <xf numFmtId="0" fontId="38" fillId="0" borderId="0" xfId="2" quotePrefix="1" applyNumberFormat="1" applyFont="1" applyFill="1" applyBorder="1" applyAlignment="1">
      <alignment horizontal="left" vertical="top"/>
    </xf>
    <xf numFmtId="0" fontId="43" fillId="0" borderId="0" xfId="2" quotePrefix="1" applyNumberFormat="1" applyFont="1" applyFill="1" applyBorder="1" applyAlignment="1">
      <alignment horizontal="left" vertical="top"/>
    </xf>
    <xf numFmtId="0" fontId="37" fillId="0" borderId="0" xfId="2" applyNumberFormat="1" applyFont="1" applyFill="1" applyBorder="1" applyAlignment="1">
      <alignment horizontal="left" vertical="top"/>
    </xf>
    <xf numFmtId="0" fontId="37" fillId="0" borderId="0" xfId="0" applyNumberFormat="1" applyFont="1" applyFill="1" applyBorder="1" applyAlignment="1">
      <alignment horizontal="left" vertical="top"/>
    </xf>
    <xf numFmtId="0" fontId="22" fillId="0" borderId="0" xfId="0" applyNumberFormat="1" applyFont="1" applyFill="1" applyBorder="1" applyAlignment="1">
      <alignment horizontal="left" vertical="top"/>
    </xf>
    <xf numFmtId="0" fontId="0" fillId="0" borderId="0" xfId="0" applyNumberFormat="1" applyBorder="1" applyAlignment="1">
      <alignment horizontal="left" vertical="top"/>
    </xf>
    <xf numFmtId="0" fontId="12" fillId="0" borderId="0" xfId="0" applyNumberFormat="1" applyFont="1" applyBorder="1" applyAlignment="1">
      <alignment horizontal="left" vertical="top"/>
    </xf>
    <xf numFmtId="0" fontId="42" fillId="0" borderId="0" xfId="0" applyNumberFormat="1" applyFont="1" applyBorder="1" applyAlignment="1">
      <alignment horizontal="left" vertical="top"/>
    </xf>
    <xf numFmtId="0" fontId="8" fillId="0" borderId="0" xfId="0" applyNumberFormat="1" applyFont="1" applyFill="1" applyBorder="1" applyAlignment="1">
      <alignment vertical="top"/>
    </xf>
    <xf numFmtId="0" fontId="8" fillId="0" borderId="55" xfId="0" applyNumberFormat="1" applyFont="1" applyFill="1" applyBorder="1" applyAlignment="1">
      <alignment horizontal="right" vertical="top"/>
    </xf>
    <xf numFmtId="0" fontId="8" fillId="0" borderId="55" xfId="0" applyNumberFormat="1" applyFont="1" applyFill="1" applyBorder="1" applyAlignment="1">
      <alignment vertical="top"/>
    </xf>
    <xf numFmtId="0" fontId="20" fillId="0" borderId="0" xfId="0" applyNumberFormat="1" applyFont="1" applyBorder="1" applyAlignment="1">
      <alignment vertical="top"/>
    </xf>
    <xf numFmtId="0" fontId="8" fillId="0" borderId="4" xfId="0" applyNumberFormat="1" applyFont="1" applyFill="1" applyBorder="1" applyAlignment="1">
      <alignment horizontal="left" vertical="top"/>
    </xf>
    <xf numFmtId="0" fontId="8" fillId="0" borderId="5" xfId="0" applyNumberFormat="1" applyFont="1" applyFill="1" applyBorder="1" applyAlignment="1">
      <alignment horizontal="right" vertical="top"/>
    </xf>
    <xf numFmtId="0" fontId="65" fillId="0" borderId="0" xfId="0" applyNumberFormat="1" applyFont="1" applyFill="1" applyBorder="1" applyAlignment="1">
      <alignment horizontal="right" vertical="top"/>
    </xf>
    <xf numFmtId="0" fontId="65" fillId="0" borderId="0" xfId="0" applyNumberFormat="1" applyFont="1" applyFill="1" applyBorder="1" applyAlignment="1">
      <alignment horizontal="left" vertical="top"/>
    </xf>
    <xf numFmtId="0" fontId="42" fillId="0" borderId="0" xfId="0" applyNumberFormat="1" applyFont="1" applyFill="1" applyBorder="1" applyAlignment="1">
      <alignment horizontal="left" vertical="top"/>
    </xf>
    <xf numFmtId="0" fontId="8" fillId="0" borderId="0" xfId="0" applyNumberFormat="1" applyFont="1" applyFill="1" applyBorder="1" applyAlignment="1">
      <alignment horizontal="right" vertical="top"/>
    </xf>
    <xf numFmtId="0" fontId="8" fillId="0" borderId="4" xfId="0" applyNumberFormat="1" applyFont="1" applyBorder="1" applyAlignment="1">
      <alignment vertical="top"/>
    </xf>
    <xf numFmtId="0" fontId="42" fillId="0" borderId="0" xfId="2" applyNumberFormat="1" applyFont="1" applyBorder="1" applyAlignment="1">
      <alignment horizontal="left" vertical="top"/>
    </xf>
    <xf numFmtId="0" fontId="8" fillId="0" borderId="0" xfId="0" applyNumberFormat="1" applyFont="1" applyBorder="1" applyAlignment="1">
      <alignment horizontal="left" vertical="top" wrapText="1"/>
    </xf>
    <xf numFmtId="0" fontId="0" fillId="0" borderId="0" xfId="0" applyNumberFormat="1" applyBorder="1" applyAlignment="1">
      <alignment vertical="top"/>
    </xf>
    <xf numFmtId="0" fontId="0" fillId="0" borderId="0" xfId="0" applyNumberFormat="1" applyFill="1" applyBorder="1" applyAlignment="1">
      <alignment vertical="top"/>
    </xf>
    <xf numFmtId="0" fontId="62" fillId="9" borderId="0" xfId="0" applyNumberFormat="1" applyFont="1" applyFill="1" applyAlignment="1">
      <alignment horizontal="left"/>
    </xf>
    <xf numFmtId="0" fontId="62" fillId="9" borderId="0" xfId="0" applyNumberFormat="1" applyFont="1" applyFill="1" applyBorder="1" applyAlignment="1">
      <alignment horizontal="left"/>
    </xf>
    <xf numFmtId="0" fontId="77" fillId="9" borderId="9" xfId="0" applyNumberFormat="1" applyFont="1" applyFill="1" applyBorder="1"/>
    <xf numFmtId="0" fontId="78" fillId="9" borderId="1" xfId="0" applyNumberFormat="1" applyFont="1" applyFill="1" applyBorder="1"/>
    <xf numFmtId="0" fontId="78" fillId="0" borderId="12" xfId="0" applyNumberFormat="1" applyFont="1" applyFill="1" applyBorder="1" applyAlignment="1">
      <alignment horizontal="left"/>
    </xf>
    <xf numFmtId="165" fontId="78" fillId="8" borderId="16" xfId="0" applyNumberFormat="1" applyFont="1" applyFill="1" applyBorder="1" applyAlignment="1">
      <alignment horizontal="left"/>
    </xf>
    <xf numFmtId="165" fontId="78" fillId="8" borderId="0" xfId="0" applyNumberFormat="1" applyFont="1" applyFill="1" applyBorder="1" applyAlignment="1">
      <alignment horizontal="left"/>
    </xf>
    <xf numFmtId="165" fontId="78" fillId="8" borderId="28" xfId="0" applyNumberFormat="1" applyFont="1" applyFill="1" applyBorder="1" applyAlignment="1">
      <alignment horizontal="left"/>
    </xf>
    <xf numFmtId="0" fontId="77" fillId="0" borderId="9" xfId="0" applyNumberFormat="1" applyFont="1" applyFill="1" applyBorder="1"/>
    <xf numFmtId="0" fontId="78" fillId="0" borderId="1" xfId="0" applyNumberFormat="1" applyFont="1" applyFill="1" applyBorder="1"/>
    <xf numFmtId="165" fontId="22" fillId="0" borderId="16" xfId="0" applyNumberFormat="1" applyFont="1" applyFill="1" applyBorder="1" applyAlignment="1">
      <alignment horizontal="left"/>
    </xf>
    <xf numFmtId="165" fontId="22" fillId="0" borderId="0" xfId="0" applyNumberFormat="1" applyFont="1" applyFill="1" applyBorder="1" applyAlignment="1">
      <alignment horizontal="left"/>
    </xf>
    <xf numFmtId="0" fontId="22" fillId="0" borderId="39" xfId="0" applyNumberFormat="1" applyFont="1" applyFill="1" applyBorder="1" applyAlignment="1">
      <alignment horizontal="left"/>
    </xf>
    <xf numFmtId="0" fontId="22" fillId="0" borderId="12" xfId="0" applyNumberFormat="1" applyFont="1" applyFill="1" applyBorder="1" applyAlignment="1">
      <alignment horizontal="left"/>
    </xf>
    <xf numFmtId="165" fontId="22" fillId="0" borderId="33" xfId="0" applyNumberFormat="1" applyFont="1" applyFill="1" applyBorder="1" applyAlignment="1">
      <alignment horizontal="left"/>
    </xf>
    <xf numFmtId="165" fontId="22" fillId="0" borderId="22" xfId="0" applyNumberFormat="1" applyFont="1" applyFill="1" applyBorder="1" applyAlignment="1">
      <alignment horizontal="left"/>
    </xf>
    <xf numFmtId="165" fontId="22" fillId="0" borderId="59" xfId="0" applyNumberFormat="1" applyFont="1" applyFill="1" applyBorder="1" applyAlignment="1">
      <alignment horizontal="left"/>
    </xf>
    <xf numFmtId="165" fontId="22" fillId="0" borderId="28" xfId="0" applyNumberFormat="1" applyFont="1" applyFill="1" applyBorder="1" applyAlignment="1">
      <alignment horizontal="left"/>
    </xf>
    <xf numFmtId="0" fontId="22" fillId="0" borderId="14" xfId="0" applyNumberFormat="1" applyFont="1" applyFill="1" applyBorder="1" applyAlignment="1">
      <alignment horizontal="left"/>
    </xf>
    <xf numFmtId="2" fontId="40" fillId="0" borderId="5" xfId="0" applyNumberFormat="1" applyFont="1" applyFill="1" applyBorder="1" applyAlignment="1">
      <alignment horizontal="left" vertical="top"/>
    </xf>
    <xf numFmtId="2" fontId="40" fillId="0" borderId="8" xfId="0" applyNumberFormat="1" applyFont="1" applyFill="1" applyBorder="1" applyAlignment="1">
      <alignment horizontal="left" vertical="top"/>
    </xf>
    <xf numFmtId="166" fontId="40" fillId="0" borderId="14" xfId="0" applyNumberFormat="1" applyFont="1" applyFill="1" applyBorder="1" applyAlignment="1">
      <alignment horizontal="left" vertical="top"/>
    </xf>
    <xf numFmtId="1" fontId="75" fillId="0" borderId="0" xfId="0" applyNumberFormat="1" applyFont="1" applyBorder="1" applyAlignment="1">
      <alignment vertical="top"/>
    </xf>
    <xf numFmtId="0" fontId="78" fillId="0" borderId="3" xfId="0" applyNumberFormat="1" applyFont="1" applyFill="1" applyBorder="1"/>
    <xf numFmtId="0" fontId="78" fillId="0" borderId="11" xfId="0" applyNumberFormat="1" applyFont="1" applyFill="1" applyBorder="1"/>
    <xf numFmtId="0" fontId="78" fillId="0" borderId="47" xfId="0" applyNumberFormat="1" applyFont="1" applyFill="1" applyBorder="1"/>
    <xf numFmtId="0" fontId="78" fillId="9" borderId="47" xfId="0" applyNumberFormat="1" applyFont="1" applyFill="1" applyBorder="1"/>
    <xf numFmtId="0" fontId="78" fillId="9" borderId="3" xfId="0" applyNumberFormat="1" applyFont="1" applyFill="1" applyBorder="1"/>
    <xf numFmtId="0" fontId="78" fillId="9" borderId="11" xfId="0" applyNumberFormat="1" applyFont="1" applyFill="1" applyBorder="1"/>
    <xf numFmtId="166" fontId="0" fillId="0" borderId="6" xfId="0" applyBorder="1" applyAlignment="1">
      <alignment vertical="top"/>
    </xf>
    <xf numFmtId="166" fontId="0" fillId="9" borderId="11" xfId="0" applyFill="1" applyBorder="1" applyAlignment="1">
      <alignment vertical="top"/>
    </xf>
    <xf numFmtId="166" fontId="8" fillId="0" borderId="10" xfId="0" applyNumberFormat="1" applyFont="1" applyFill="1" applyBorder="1" applyAlignment="1">
      <alignment horizontal="left" vertical="top"/>
    </xf>
    <xf numFmtId="1" fontId="75" fillId="0" borderId="11" xfId="0" applyNumberFormat="1" applyFont="1" applyBorder="1" applyAlignment="1">
      <alignment vertical="top"/>
    </xf>
    <xf numFmtId="0" fontId="22" fillId="0" borderId="4" xfId="0" applyNumberFormat="1" applyFont="1" applyFill="1" applyBorder="1" applyAlignment="1">
      <alignment horizontal="left" vertical="top"/>
    </xf>
    <xf numFmtId="0" fontId="21" fillId="0" borderId="3" xfId="0" applyNumberFormat="1" applyFont="1" applyFill="1" applyBorder="1" applyAlignment="1">
      <alignment vertical="top"/>
    </xf>
    <xf numFmtId="0" fontId="8" fillId="0" borderId="5" xfId="0" quotePrefix="1" applyNumberFormat="1" applyFont="1" applyFill="1" applyBorder="1" applyAlignment="1">
      <alignment horizontal="left" vertical="top"/>
    </xf>
    <xf numFmtId="0" fontId="37" fillId="0" borderId="4" xfId="0" applyNumberFormat="1" applyFont="1" applyFill="1" applyBorder="1" applyAlignment="1">
      <alignment horizontal="left" vertical="top"/>
    </xf>
    <xf numFmtId="0" fontId="21" fillId="0" borderId="0" xfId="0" applyNumberFormat="1" applyFont="1" applyFill="1" applyBorder="1" applyAlignment="1">
      <alignment vertical="top"/>
    </xf>
    <xf numFmtId="0" fontId="21" fillId="0" borderId="4" xfId="0" applyNumberFormat="1" applyFont="1" applyFill="1" applyBorder="1" applyAlignment="1">
      <alignment horizontal="left" vertical="top"/>
    </xf>
    <xf numFmtId="1" fontId="22" fillId="0" borderId="5" xfId="2" applyNumberFormat="1" applyFont="1" applyFill="1" applyBorder="1" applyAlignment="1">
      <alignment horizontal="left" vertical="top"/>
    </xf>
    <xf numFmtId="165" fontId="22" fillId="0" borderId="34" xfId="0" applyNumberFormat="1" applyFont="1" applyFill="1" applyBorder="1" applyAlignment="1">
      <alignment horizontal="left"/>
    </xf>
    <xf numFmtId="165" fontId="22" fillId="0" borderId="5" xfId="0" applyNumberFormat="1" applyFont="1" applyFill="1" applyBorder="1" applyAlignment="1">
      <alignment horizontal="left"/>
    </xf>
    <xf numFmtId="2" fontId="22" fillId="0" borderId="5" xfId="0" applyNumberFormat="1" applyFont="1" applyFill="1" applyBorder="1" applyAlignment="1">
      <alignment horizontal="left" vertical="top"/>
    </xf>
    <xf numFmtId="0" fontId="77" fillId="0" borderId="47" xfId="0" applyNumberFormat="1" applyFont="1" applyBorder="1" applyAlignment="1">
      <alignment horizontal="left"/>
    </xf>
    <xf numFmtId="2" fontId="22" fillId="0" borderId="62" xfId="0" applyNumberFormat="1" applyFont="1" applyFill="1" applyBorder="1" applyAlignment="1">
      <alignment horizontal="left" vertical="top"/>
    </xf>
    <xf numFmtId="0" fontId="30" fillId="0" borderId="4" xfId="2" applyNumberFormat="1" applyFont="1" applyFill="1" applyBorder="1" applyAlignment="1">
      <alignment horizontal="left" vertical="top"/>
    </xf>
    <xf numFmtId="0" fontId="30" fillId="0" borderId="0" xfId="2" applyNumberFormat="1" applyFont="1" applyFill="1" applyBorder="1" applyAlignment="1">
      <alignment horizontal="left" vertical="top"/>
    </xf>
    <xf numFmtId="2" fontId="37" fillId="0" borderId="10" xfId="0" applyNumberFormat="1" applyFont="1" applyFill="1" applyBorder="1" applyAlignment="1">
      <alignment horizontal="left" vertical="top"/>
    </xf>
    <xf numFmtId="2" fontId="56" fillId="0" borderId="10" xfId="0" applyNumberFormat="1" applyFont="1" applyFill="1" applyBorder="1" applyAlignment="1">
      <alignment horizontal="left" vertical="top"/>
    </xf>
    <xf numFmtId="2" fontId="42" fillId="0" borderId="1" xfId="0" applyNumberFormat="1" applyFont="1" applyFill="1" applyBorder="1" applyAlignment="1">
      <alignment horizontal="left" vertical="top"/>
    </xf>
    <xf numFmtId="2" fontId="42" fillId="0" borderId="9" xfId="0" applyNumberFormat="1" applyFont="1" applyFill="1" applyBorder="1" applyAlignment="1">
      <alignment horizontal="left" vertical="top"/>
    </xf>
    <xf numFmtId="2" fontId="42" fillId="0" borderId="10" xfId="0" applyNumberFormat="1" applyFont="1" applyFill="1" applyBorder="1" applyAlignment="1">
      <alignment horizontal="left" vertical="top"/>
    </xf>
    <xf numFmtId="166" fontId="42" fillId="0" borderId="9" xfId="0" applyFont="1" applyFill="1" applyBorder="1" applyAlignment="1">
      <alignment horizontal="right" vertical="top"/>
    </xf>
    <xf numFmtId="166" fontId="42" fillId="0" borderId="10" xfId="0" applyFont="1" applyFill="1" applyBorder="1" applyAlignment="1">
      <alignment horizontal="left" vertical="top"/>
    </xf>
    <xf numFmtId="166" fontId="42" fillId="0" borderId="1" xfId="0" applyNumberFormat="1" applyFont="1" applyFill="1" applyBorder="1" applyAlignment="1">
      <alignment horizontal="left" vertical="top"/>
    </xf>
    <xf numFmtId="10" fontId="40" fillId="0" borderId="13" xfId="2" applyNumberFormat="1" applyFont="1" applyFill="1" applyBorder="1" applyAlignment="1">
      <alignment horizontal="left" vertical="top"/>
    </xf>
    <xf numFmtId="10" fontId="39" fillId="0" borderId="12" xfId="0" applyNumberFormat="1" applyFont="1" applyFill="1" applyBorder="1" applyAlignment="1">
      <alignment horizontal="left" vertical="top"/>
    </xf>
    <xf numFmtId="10" fontId="40" fillId="0" borderId="12" xfId="0" applyNumberFormat="1" applyFont="1" applyFill="1" applyBorder="1" applyAlignment="1">
      <alignment horizontal="left" vertical="top"/>
    </xf>
    <xf numFmtId="10" fontId="8" fillId="16" borderId="12" xfId="0" applyNumberFormat="1" applyFont="1" applyFill="1" applyBorder="1" applyAlignment="1">
      <alignment horizontal="left" vertical="top"/>
    </xf>
    <xf numFmtId="10" fontId="39" fillId="0" borderId="4" xfId="0" applyNumberFormat="1" applyFont="1" applyFill="1" applyBorder="1" applyAlignment="1">
      <alignment horizontal="left" vertical="top"/>
    </xf>
    <xf numFmtId="10" fontId="39" fillId="0" borderId="0" xfId="0" applyNumberFormat="1" applyFont="1" applyFill="1" applyBorder="1" applyAlignment="1">
      <alignment horizontal="left" vertical="top"/>
    </xf>
    <xf numFmtId="10" fontId="33" fillId="16" borderId="0" xfId="0" applyNumberFormat="1" applyFont="1" applyFill="1" applyBorder="1" applyAlignment="1">
      <alignment horizontal="left" vertical="top"/>
    </xf>
    <xf numFmtId="10" fontId="40" fillId="0" borderId="4" xfId="0" applyNumberFormat="1" applyFont="1" applyFill="1" applyBorder="1" applyAlignment="1">
      <alignment horizontal="left" vertical="top"/>
    </xf>
    <xf numFmtId="10" fontId="40" fillId="0" borderId="0" xfId="0" applyNumberFormat="1" applyFont="1" applyFill="1" applyBorder="1" applyAlignment="1">
      <alignment horizontal="left" vertical="top"/>
    </xf>
    <xf numFmtId="10" fontId="8" fillId="16" borderId="0" xfId="0" applyNumberFormat="1" applyFont="1" applyFill="1" applyBorder="1" applyAlignment="1">
      <alignment horizontal="left" vertical="top"/>
    </xf>
    <xf numFmtId="10" fontId="41" fillId="0" borderId="4" xfId="0" applyNumberFormat="1" applyFont="1" applyFill="1" applyBorder="1" applyAlignment="1">
      <alignment horizontal="left" vertical="top"/>
    </xf>
    <xf numFmtId="10" fontId="41" fillId="0" borderId="0" xfId="0" applyNumberFormat="1" applyFont="1" applyFill="1" applyBorder="1" applyAlignment="1">
      <alignment horizontal="left" vertical="top"/>
    </xf>
    <xf numFmtId="10" fontId="41" fillId="16" borderId="0" xfId="0" applyNumberFormat="1" applyFont="1" applyFill="1" applyBorder="1" applyAlignment="1">
      <alignment horizontal="left" vertical="top"/>
    </xf>
    <xf numFmtId="10" fontId="41" fillId="0" borderId="6" xfId="0" applyNumberFormat="1" applyFont="1" applyFill="1" applyBorder="1" applyAlignment="1">
      <alignment horizontal="left" vertical="top"/>
    </xf>
    <xf numFmtId="10" fontId="39" fillId="0" borderId="7" xfId="0" applyNumberFormat="1" applyFont="1" applyFill="1" applyBorder="1" applyAlignment="1">
      <alignment horizontal="left" vertical="top"/>
    </xf>
    <xf numFmtId="10" fontId="41" fillId="0" borderId="7" xfId="0" applyNumberFormat="1" applyFont="1" applyFill="1" applyBorder="1" applyAlignment="1">
      <alignment horizontal="left" vertical="top"/>
    </xf>
    <xf numFmtId="10" fontId="41" fillId="16" borderId="7" xfId="0" applyNumberFormat="1" applyFont="1" applyFill="1" applyBorder="1" applyAlignment="1">
      <alignment horizontal="left" vertical="top"/>
    </xf>
    <xf numFmtId="10" fontId="40" fillId="0" borderId="14" xfId="0" applyNumberFormat="1" applyFont="1" applyFill="1" applyBorder="1" applyAlignment="1">
      <alignment horizontal="left" vertical="top"/>
    </xf>
    <xf numFmtId="10" fontId="39" fillId="0" borderId="5" xfId="0" applyNumberFormat="1" applyFont="1" applyFill="1" applyBorder="1" applyAlignment="1">
      <alignment horizontal="left" vertical="top"/>
    </xf>
    <xf numFmtId="10" fontId="40" fillId="0" borderId="5" xfId="0" applyNumberFormat="1" applyFont="1" applyFill="1" applyBorder="1" applyAlignment="1">
      <alignment horizontal="left" vertical="top"/>
    </xf>
    <xf numFmtId="0" fontId="30" fillId="0" borderId="5" xfId="2" applyNumberFormat="1" applyFont="1" applyFill="1" applyBorder="1" applyAlignment="1">
      <alignment horizontal="left" vertical="top"/>
    </xf>
    <xf numFmtId="9" fontId="78" fillId="16" borderId="60" xfId="2" applyFont="1" applyFill="1" applyBorder="1" applyAlignment="1">
      <alignment horizontal="left"/>
    </xf>
    <xf numFmtId="9" fontId="78" fillId="16" borderId="41" xfId="2" applyFont="1" applyFill="1" applyBorder="1" applyAlignment="1">
      <alignment horizontal="left"/>
    </xf>
    <xf numFmtId="9" fontId="78" fillId="16" borderId="61" xfId="2" applyFont="1" applyFill="1" applyBorder="1" applyAlignment="1">
      <alignment horizontal="left"/>
    </xf>
    <xf numFmtId="2" fontId="22" fillId="0" borderId="37" xfId="0" applyNumberFormat="1" applyFont="1" applyFill="1" applyBorder="1" applyAlignment="1">
      <alignment horizontal="left" vertical="top"/>
    </xf>
    <xf numFmtId="9" fontId="37" fillId="0" borderId="37" xfId="2" applyFont="1" applyFill="1" applyBorder="1" applyAlignment="1">
      <alignment horizontal="left" vertical="top"/>
    </xf>
    <xf numFmtId="9" fontId="37" fillId="0" borderId="38" xfId="2" applyFont="1" applyFill="1" applyBorder="1" applyAlignment="1">
      <alignment horizontal="left" vertical="top"/>
    </xf>
    <xf numFmtId="9" fontId="37" fillId="0" borderId="16" xfId="2" applyFont="1" applyFill="1" applyBorder="1" applyAlignment="1">
      <alignment horizontal="left" vertical="top"/>
    </xf>
    <xf numFmtId="9" fontId="37" fillId="0" borderId="34" xfId="2" applyFont="1" applyFill="1" applyBorder="1" applyAlignment="1">
      <alignment horizontal="left" vertical="top"/>
    </xf>
    <xf numFmtId="9" fontId="37" fillId="0" borderId="7" xfId="2" applyFont="1" applyFill="1" applyBorder="1" applyAlignment="1">
      <alignment horizontal="left" vertical="top"/>
    </xf>
    <xf numFmtId="9" fontId="37" fillId="0" borderId="8" xfId="2" applyFont="1" applyFill="1" applyBorder="1" applyAlignment="1">
      <alignment horizontal="left" vertical="top"/>
    </xf>
    <xf numFmtId="166" fontId="37" fillId="0" borderId="12" xfId="0" applyFont="1" applyFill="1" applyBorder="1" applyAlignment="1">
      <alignment horizontal="left" vertical="top"/>
    </xf>
    <xf numFmtId="166" fontId="37" fillId="0" borderId="14" xfId="0" applyFont="1" applyFill="1" applyBorder="1" applyAlignment="1">
      <alignment horizontal="left" vertical="top"/>
    </xf>
    <xf numFmtId="9" fontId="37" fillId="0" borderId="17" xfId="2" applyFont="1" applyFill="1" applyBorder="1" applyAlignment="1">
      <alignment horizontal="left" vertical="top"/>
    </xf>
    <xf numFmtId="9" fontId="37" fillId="0" borderId="24" xfId="2" applyFont="1" applyFill="1" applyBorder="1" applyAlignment="1">
      <alignment horizontal="left" vertical="top"/>
    </xf>
    <xf numFmtId="166" fontId="37" fillId="0" borderId="19" xfId="0" applyFont="1" applyFill="1" applyBorder="1" applyAlignment="1">
      <alignment horizontal="left" vertical="top"/>
    </xf>
    <xf numFmtId="166" fontId="37" fillId="0" borderId="23" xfId="0" applyFont="1" applyFill="1" applyBorder="1" applyAlignment="1">
      <alignment horizontal="left" vertical="top"/>
    </xf>
    <xf numFmtId="9" fontId="37" fillId="0" borderId="40" xfId="2" applyFont="1" applyFill="1" applyBorder="1" applyAlignment="1">
      <alignment horizontal="left" vertical="top"/>
    </xf>
    <xf numFmtId="2" fontId="37" fillId="0" borderId="17" xfId="0" applyNumberFormat="1" applyFont="1" applyFill="1" applyBorder="1" applyAlignment="1">
      <alignment horizontal="left" vertical="top"/>
    </xf>
    <xf numFmtId="2" fontId="37" fillId="0" borderId="37" xfId="0" applyNumberFormat="1" applyFont="1" applyFill="1" applyBorder="1" applyAlignment="1">
      <alignment horizontal="left" vertical="top"/>
    </xf>
    <xf numFmtId="2" fontId="37" fillId="0" borderId="40" xfId="0" applyNumberFormat="1" applyFont="1" applyFill="1" applyBorder="1" applyAlignment="1">
      <alignment horizontal="left" vertical="top"/>
    </xf>
    <xf numFmtId="0" fontId="31" fillId="0" borderId="0" xfId="0" applyNumberFormat="1" applyFont="1" applyBorder="1" applyAlignment="1">
      <alignment horizontal="left" vertical="top"/>
    </xf>
    <xf numFmtId="0" fontId="22" fillId="0" borderId="0" xfId="0" applyNumberFormat="1" applyFont="1" applyBorder="1" applyAlignment="1">
      <alignment horizontal="left" vertical="top"/>
    </xf>
    <xf numFmtId="0" fontId="31" fillId="0" borderId="0" xfId="0" applyNumberFormat="1" applyFont="1" applyFill="1" applyBorder="1" applyAlignment="1">
      <alignment horizontal="left" vertical="top"/>
    </xf>
    <xf numFmtId="0" fontId="31" fillId="0" borderId="0" xfId="2" applyNumberFormat="1" applyFont="1" applyFill="1" applyBorder="1" applyAlignment="1">
      <alignment horizontal="left" vertical="top"/>
    </xf>
    <xf numFmtId="0" fontId="32" fillId="0" borderId="0" xfId="0" applyNumberFormat="1" applyFont="1" applyBorder="1" applyAlignment="1">
      <alignment horizontal="left" vertical="top" wrapText="1"/>
    </xf>
    <xf numFmtId="166" fontId="8" fillId="0" borderId="4" xfId="0" applyFont="1" applyFill="1" applyBorder="1" applyAlignment="1">
      <alignment horizontal="left" vertical="top" indent="1"/>
    </xf>
    <xf numFmtId="166" fontId="8" fillId="0" borderId="0" xfId="0" applyFont="1" applyFill="1" applyBorder="1" applyAlignment="1">
      <alignment horizontal="left" vertical="top" indent="1"/>
    </xf>
    <xf numFmtId="166" fontId="8" fillId="0" borderId="4" xfId="0" applyFont="1" applyFill="1" applyBorder="1" applyAlignment="1">
      <alignment horizontal="left" vertical="top"/>
    </xf>
    <xf numFmtId="166" fontId="8" fillId="0" borderId="0" xfId="0" applyFont="1" applyFill="1" applyBorder="1" applyAlignment="1">
      <alignment horizontal="left" vertical="top"/>
    </xf>
    <xf numFmtId="166" fontId="9" fillId="0" borderId="4" xfId="0" quotePrefix="1" applyFont="1" applyBorder="1" applyAlignment="1">
      <alignment horizontal="left" vertical="top"/>
    </xf>
    <xf numFmtId="166" fontId="9" fillId="0" borderId="0" xfId="0" quotePrefix="1" applyFont="1" applyBorder="1" applyAlignment="1">
      <alignment horizontal="left" vertical="top"/>
    </xf>
    <xf numFmtId="166" fontId="8" fillId="0" borderId="4" xfId="0" quotePrefix="1" applyFont="1" applyBorder="1" applyAlignment="1">
      <alignment horizontal="left" vertical="top"/>
    </xf>
    <xf numFmtId="166" fontId="8" fillId="0" borderId="0" xfId="0" quotePrefix="1" applyFont="1" applyBorder="1" applyAlignment="1">
      <alignment horizontal="left" vertical="top"/>
    </xf>
    <xf numFmtId="10" fontId="9" fillId="0" borderId="10" xfId="2" applyNumberFormat="1" applyFont="1" applyFill="1" applyBorder="1" applyAlignment="1">
      <alignment horizontal="left" indent="1"/>
    </xf>
    <xf numFmtId="10" fontId="8" fillId="0" borderId="10" xfId="2" applyNumberFormat="1" applyFont="1" applyFill="1" applyBorder="1" applyAlignment="1">
      <alignment horizontal="left" indent="1"/>
    </xf>
    <xf numFmtId="166" fontId="8" fillId="0" borderId="4" xfId="0" applyFont="1" applyFill="1" applyBorder="1" applyAlignment="1">
      <alignment horizontal="left" vertical="top"/>
    </xf>
    <xf numFmtId="166" fontId="8" fillId="0" borderId="0" xfId="0" applyFont="1" applyFill="1" applyBorder="1" applyAlignment="1">
      <alignment horizontal="left" vertical="top"/>
    </xf>
    <xf numFmtId="0" fontId="0" fillId="0" borderId="51" xfId="0" applyNumberFormat="1" applyFill="1" applyBorder="1" applyAlignment="1">
      <alignment vertical="top"/>
    </xf>
    <xf numFmtId="0" fontId="66" fillId="0" borderId="0" xfId="0" applyNumberFormat="1" applyFont="1" applyFill="1" applyBorder="1" applyAlignment="1">
      <alignment horizontal="center" vertical="top"/>
    </xf>
    <xf numFmtId="0" fontId="0" fillId="0" borderId="51" xfId="0" applyNumberFormat="1" applyBorder="1" applyAlignment="1">
      <alignment vertical="top"/>
    </xf>
    <xf numFmtId="0" fontId="65" fillId="0" borderId="12" xfId="0" applyNumberFormat="1" applyFont="1" applyBorder="1" applyAlignment="1">
      <alignment vertical="top"/>
    </xf>
    <xf numFmtId="0" fontId="22" fillId="0" borderId="12" xfId="0" applyNumberFormat="1" applyFont="1" applyBorder="1" applyAlignment="1">
      <alignment vertical="top"/>
    </xf>
    <xf numFmtId="0" fontId="22" fillId="0" borderId="58" xfId="0" applyNumberFormat="1" applyFont="1" applyBorder="1" applyAlignment="1">
      <alignment vertical="top"/>
    </xf>
    <xf numFmtId="0" fontId="8" fillId="0" borderId="12" xfId="0" applyNumberFormat="1" applyFont="1" applyBorder="1" applyAlignment="1">
      <alignment vertical="top"/>
    </xf>
    <xf numFmtId="0" fontId="42" fillId="0" borderId="0" xfId="0" applyNumberFormat="1" applyFont="1" applyFill="1" applyBorder="1" applyAlignment="1">
      <alignment vertical="top"/>
    </xf>
    <xf numFmtId="0" fontId="42" fillId="0" borderId="0" xfId="0" applyNumberFormat="1" applyFont="1" applyBorder="1" applyAlignment="1">
      <alignment horizontal="left"/>
    </xf>
    <xf numFmtId="0" fontId="4" fillId="0" borderId="12" xfId="3" applyNumberFormat="1" applyFont="1" applyBorder="1" applyAlignment="1">
      <alignment horizontal="left" vertical="top"/>
    </xf>
    <xf numFmtId="166" fontId="8" fillId="10" borderId="48" xfId="0" applyFont="1" applyFill="1" applyBorder="1" applyAlignment="1">
      <alignment horizontal="left" vertical="top"/>
    </xf>
    <xf numFmtId="166" fontId="8" fillId="10" borderId="10" xfId="0" applyFont="1" applyFill="1" applyBorder="1" applyAlignment="1">
      <alignment vertical="top"/>
    </xf>
    <xf numFmtId="166" fontId="20" fillId="0" borderId="4" xfId="0" applyFont="1" applyFill="1" applyBorder="1" applyAlignment="1">
      <alignment horizontal="left" vertical="top"/>
    </xf>
    <xf numFmtId="10" fontId="20" fillId="0" borderId="4" xfId="2" quotePrefix="1" applyNumberFormat="1" applyFont="1" applyFill="1" applyBorder="1" applyAlignment="1">
      <alignment horizontal="left" vertical="top"/>
    </xf>
    <xf numFmtId="10" fontId="37" fillId="0" borderId="2" xfId="0" applyNumberFormat="1" applyFont="1" applyFill="1" applyBorder="1" applyAlignment="1">
      <alignment horizontal="left" vertical="top"/>
    </xf>
    <xf numFmtId="10" fontId="37" fillId="0" borderId="10" xfId="0" applyNumberFormat="1" applyFont="1" applyFill="1" applyBorder="1" applyAlignment="1">
      <alignment horizontal="left" vertical="top"/>
    </xf>
    <xf numFmtId="10" fontId="37" fillId="0" borderId="1" xfId="0" applyNumberFormat="1" applyFont="1" applyFill="1" applyBorder="1" applyAlignment="1">
      <alignment horizontal="left" vertical="top"/>
    </xf>
    <xf numFmtId="9" fontId="37" fillId="0" borderId="2" xfId="0" applyNumberFormat="1" applyFont="1" applyFill="1" applyBorder="1" applyAlignment="1">
      <alignment horizontal="left" vertical="top"/>
    </xf>
    <xf numFmtId="10" fontId="37" fillId="0" borderId="5" xfId="0" applyNumberFormat="1" applyFont="1" applyFill="1" applyBorder="1" applyAlignment="1">
      <alignment horizontal="left" vertical="top"/>
    </xf>
    <xf numFmtId="2" fontId="37" fillId="0" borderId="2" xfId="0" applyNumberFormat="1" applyFont="1" applyFill="1" applyBorder="1" applyAlignment="1">
      <alignment horizontal="left" vertical="top"/>
    </xf>
    <xf numFmtId="10" fontId="79" fillId="0" borderId="0" xfId="0" applyNumberFormat="1" applyFont="1" applyFill="1" applyBorder="1" applyAlignment="1">
      <alignment horizontal="left" vertical="top"/>
    </xf>
    <xf numFmtId="10" fontId="79" fillId="0" borderId="5" xfId="0" applyNumberFormat="1" applyFont="1" applyFill="1" applyBorder="1" applyAlignment="1">
      <alignment horizontal="left" vertical="top"/>
    </xf>
    <xf numFmtId="9" fontId="37" fillId="0" borderId="2" xfId="2" applyFont="1" applyFill="1" applyBorder="1" applyAlignment="1">
      <alignment horizontal="left" vertical="top"/>
    </xf>
    <xf numFmtId="10" fontId="21" fillId="0" borderId="2" xfId="2" applyNumberFormat="1" applyFont="1" applyFill="1" applyBorder="1" applyAlignment="1">
      <alignment horizontal="left" vertical="top"/>
    </xf>
    <xf numFmtId="165" fontId="37" fillId="0" borderId="2" xfId="2" applyNumberFormat="1" applyFont="1" applyFill="1" applyBorder="1" applyAlignment="1">
      <alignment horizontal="left" vertical="top"/>
    </xf>
    <xf numFmtId="0" fontId="8" fillId="0" borderId="4" xfId="2" applyNumberFormat="1" applyFont="1" applyFill="1" applyBorder="1" applyAlignment="1">
      <alignment horizontal="left" vertical="top"/>
    </xf>
    <xf numFmtId="0" fontId="8" fillId="0" borderId="0" xfId="2" applyNumberFormat="1" applyFont="1" applyFill="1" applyBorder="1" applyAlignment="1">
      <alignment horizontal="left" vertical="top"/>
    </xf>
    <xf numFmtId="1" fontId="21" fillId="0" borderId="4" xfId="2" applyNumberFormat="1" applyFont="1" applyFill="1" applyBorder="1" applyAlignment="1">
      <alignment horizontal="left" vertical="top"/>
    </xf>
    <xf numFmtId="10" fontId="80" fillId="0" borderId="6" xfId="0" applyNumberFormat="1" applyFont="1" applyFill="1" applyBorder="1" applyAlignment="1">
      <alignment horizontal="right" vertical="top"/>
    </xf>
    <xf numFmtId="10" fontId="21" fillId="0" borderId="4" xfId="0" applyNumberFormat="1" applyFont="1" applyFill="1" applyBorder="1" applyAlignment="1">
      <alignment horizontal="left" vertical="top"/>
    </xf>
    <xf numFmtId="10" fontId="21" fillId="0" borderId="4" xfId="2" applyNumberFormat="1" applyFont="1" applyFill="1" applyBorder="1" applyAlignment="1">
      <alignment horizontal="left" vertical="top"/>
    </xf>
    <xf numFmtId="166" fontId="21" fillId="0" borderId="4" xfId="0" applyFont="1" applyFill="1" applyBorder="1" applyAlignment="1">
      <alignment horizontal="left" vertical="top"/>
    </xf>
    <xf numFmtId="9" fontId="21" fillId="0" borderId="4" xfId="0" applyNumberFormat="1" applyFont="1" applyFill="1" applyBorder="1" applyAlignment="1">
      <alignment horizontal="left" vertical="top"/>
    </xf>
    <xf numFmtId="166" fontId="21" fillId="0" borderId="0" xfId="0" applyFont="1" applyBorder="1" applyAlignment="1">
      <alignment vertical="top"/>
    </xf>
    <xf numFmtId="166" fontId="21" fillId="0" borderId="4" xfId="0" applyFont="1" applyBorder="1" applyAlignment="1">
      <alignment vertical="top"/>
    </xf>
    <xf numFmtId="166" fontId="21" fillId="0" borderId="4" xfId="0" quotePrefix="1" applyFont="1" applyFill="1" applyBorder="1" applyAlignment="1">
      <alignment horizontal="left" vertical="top"/>
    </xf>
    <xf numFmtId="166" fontId="81" fillId="0" borderId="4" xfId="0" quotePrefix="1" applyFont="1" applyFill="1" applyBorder="1" applyAlignment="1">
      <alignment horizontal="left" vertical="top"/>
    </xf>
    <xf numFmtId="0" fontId="37" fillId="0" borderId="8" xfId="0" applyNumberFormat="1" applyFont="1" applyFill="1" applyBorder="1" applyAlignment="1">
      <alignment horizontal="left" vertical="top"/>
    </xf>
    <xf numFmtId="0" fontId="21" fillId="0" borderId="13" xfId="0" applyNumberFormat="1" applyFont="1" applyFill="1" applyBorder="1" applyAlignment="1">
      <alignment horizontal="left" vertical="top"/>
    </xf>
    <xf numFmtId="0" fontId="21" fillId="0" borderId="12" xfId="0" applyNumberFormat="1" applyFont="1" applyFill="1" applyBorder="1" applyAlignment="1">
      <alignment horizontal="left" vertical="top"/>
    </xf>
    <xf numFmtId="0" fontId="21" fillId="0" borderId="14" xfId="0" applyNumberFormat="1" applyFont="1" applyFill="1" applyBorder="1" applyAlignment="1">
      <alignment horizontal="left" vertical="top"/>
    </xf>
    <xf numFmtId="9" fontId="8" fillId="0" borderId="4" xfId="0" applyNumberFormat="1" applyFont="1" applyFill="1" applyBorder="1" applyAlignment="1">
      <alignment horizontal="left" vertical="top"/>
    </xf>
    <xf numFmtId="10" fontId="8" fillId="0" borderId="6" xfId="2" applyNumberFormat="1" applyFont="1" applyFill="1" applyBorder="1" applyAlignment="1">
      <alignment horizontal="left" vertical="top"/>
    </xf>
    <xf numFmtId="10" fontId="8" fillId="0" borderId="7" xfId="2" applyNumberFormat="1" applyFont="1" applyFill="1" applyBorder="1" applyAlignment="1">
      <alignment horizontal="left" vertical="top"/>
    </xf>
    <xf numFmtId="166" fontId="8" fillId="0" borderId="8" xfId="0" applyFont="1" applyFill="1" applyBorder="1" applyAlignment="1">
      <alignment horizontal="left" vertical="top"/>
    </xf>
    <xf numFmtId="10" fontId="9" fillId="0" borderId="14" xfId="2" applyNumberFormat="1" applyFont="1" applyFill="1" applyBorder="1" applyAlignment="1">
      <alignment horizontal="left" vertical="top"/>
    </xf>
    <xf numFmtId="10" fontId="8" fillId="0" borderId="63" xfId="0" applyNumberFormat="1" applyFont="1" applyBorder="1" applyAlignment="1">
      <alignment horizontal="left" vertical="top"/>
    </xf>
    <xf numFmtId="10" fontId="8" fillId="0" borderId="64" xfId="0" applyNumberFormat="1" applyFont="1" applyBorder="1" applyAlignment="1">
      <alignment horizontal="left" vertical="top"/>
    </xf>
    <xf numFmtId="0" fontId="8" fillId="0" borderId="44" xfId="0" quotePrefix="1" applyNumberFormat="1" applyFont="1" applyFill="1" applyBorder="1" applyAlignment="1">
      <alignment horizontal="left" vertical="top"/>
    </xf>
    <xf numFmtId="166" fontId="10" fillId="0" borderId="14" xfId="0" applyFont="1" applyBorder="1" applyAlignment="1">
      <alignment vertical="top"/>
    </xf>
    <xf numFmtId="166" fontId="10" fillId="0" borderId="13" xfId="0" applyFont="1" applyBorder="1" applyAlignment="1">
      <alignment vertical="top"/>
    </xf>
    <xf numFmtId="10" fontId="8" fillId="0" borderId="4" xfId="0" applyNumberFormat="1" applyFont="1" applyBorder="1" applyAlignment="1">
      <alignment horizontal="left" vertical="top"/>
    </xf>
    <xf numFmtId="10" fontId="9" fillId="0" borderId="0" xfId="0" applyNumberFormat="1" applyFont="1" applyBorder="1" applyAlignment="1">
      <alignment horizontal="left" vertical="top"/>
    </xf>
    <xf numFmtId="10" fontId="8" fillId="0" borderId="0" xfId="0" applyNumberFormat="1" applyFont="1" applyBorder="1" applyAlignment="1">
      <alignment horizontal="left" vertical="top"/>
    </xf>
    <xf numFmtId="10" fontId="9" fillId="0" borderId="4" xfId="2" applyNumberFormat="1" applyFont="1" applyBorder="1" applyAlignment="1">
      <alignment horizontal="left" vertical="top"/>
    </xf>
    <xf numFmtId="10" fontId="9" fillId="0" borderId="0" xfId="2" applyNumberFormat="1" applyFont="1" applyBorder="1" applyAlignment="1">
      <alignment horizontal="left" vertical="top"/>
    </xf>
    <xf numFmtId="10" fontId="8" fillId="0" borderId="0" xfId="2" applyNumberFormat="1" applyFont="1" applyBorder="1" applyAlignment="1">
      <alignment horizontal="left" vertical="top"/>
    </xf>
    <xf numFmtId="10" fontId="23" fillId="0" borderId="4" xfId="2" applyNumberFormat="1" applyFont="1" applyFill="1" applyBorder="1" applyAlignment="1">
      <alignment horizontal="left" vertical="top"/>
    </xf>
    <xf numFmtId="10" fontId="23" fillId="0" borderId="0" xfId="2" applyNumberFormat="1" applyFont="1" applyFill="1" applyBorder="1" applyAlignment="1">
      <alignment horizontal="left" vertical="top"/>
    </xf>
    <xf numFmtId="10" fontId="23" fillId="0" borderId="6" xfId="2" applyNumberFormat="1" applyFont="1" applyFill="1" applyBorder="1" applyAlignment="1">
      <alignment horizontal="left" vertical="top"/>
    </xf>
    <xf numFmtId="10" fontId="23" fillId="0" borderId="7" xfId="2" applyNumberFormat="1" applyFont="1" applyFill="1" applyBorder="1" applyAlignment="1">
      <alignment horizontal="left" vertical="top"/>
    </xf>
    <xf numFmtId="164" fontId="23" fillId="0" borderId="13" xfId="0" applyNumberFormat="1" applyFont="1" applyFill="1" applyBorder="1" applyAlignment="1">
      <alignment horizontal="left" vertical="top"/>
    </xf>
    <xf numFmtId="164" fontId="23" fillId="0" borderId="12" xfId="0" applyNumberFormat="1" applyFont="1" applyFill="1" applyBorder="1" applyAlignment="1">
      <alignment horizontal="left" vertical="top"/>
    </xf>
    <xf numFmtId="166" fontId="8" fillId="6" borderId="0" xfId="0" applyFont="1" applyFill="1" applyBorder="1" applyAlignment="1">
      <alignment horizontal="left" vertical="top"/>
    </xf>
    <xf numFmtId="10" fontId="8" fillId="6" borderId="0" xfId="0" applyNumberFormat="1" applyFont="1" applyFill="1" applyBorder="1" applyAlignment="1">
      <alignment horizontal="left" vertical="top"/>
    </xf>
    <xf numFmtId="2" fontId="8" fillId="0" borderId="4" xfId="2" applyNumberFormat="1" applyFont="1" applyFill="1" applyBorder="1" applyAlignment="1">
      <alignment horizontal="left" vertical="top"/>
    </xf>
    <xf numFmtId="2" fontId="8" fillId="6" borderId="0" xfId="2" applyNumberFormat="1" applyFont="1" applyFill="1" applyBorder="1" applyAlignment="1">
      <alignment horizontal="left" vertical="top"/>
    </xf>
    <xf numFmtId="2" fontId="42" fillId="0" borderId="4" xfId="2" applyNumberFormat="1" applyFont="1" applyFill="1" applyBorder="1" applyAlignment="1">
      <alignment horizontal="left" vertical="top"/>
    </xf>
    <xf numFmtId="9" fontId="8" fillId="6" borderId="0" xfId="0" applyNumberFormat="1" applyFont="1" applyFill="1" applyBorder="1" applyAlignment="1">
      <alignment horizontal="left" vertical="top"/>
    </xf>
    <xf numFmtId="9" fontId="8" fillId="0" borderId="4" xfId="2" quotePrefix="1" applyNumberFormat="1" applyFont="1" applyFill="1" applyBorder="1" applyAlignment="1">
      <alignment horizontal="left" vertical="top"/>
    </xf>
    <xf numFmtId="10" fontId="42" fillId="0" borderId="4" xfId="2" applyNumberFormat="1" applyFont="1" applyFill="1" applyBorder="1" applyAlignment="1">
      <alignment horizontal="left" vertical="top"/>
    </xf>
    <xf numFmtId="10" fontId="42" fillId="0" borderId="5" xfId="2" applyNumberFormat="1" applyFont="1" applyFill="1" applyBorder="1" applyAlignment="1">
      <alignment horizontal="left" vertical="top"/>
    </xf>
    <xf numFmtId="10" fontId="9" fillId="0" borderId="13" xfId="0" applyNumberFormat="1" applyFont="1" applyFill="1" applyBorder="1" applyAlignment="1">
      <alignment horizontal="left" vertical="top"/>
    </xf>
    <xf numFmtId="10" fontId="9" fillId="0" borderId="14" xfId="0" applyNumberFormat="1" applyFont="1" applyFill="1" applyBorder="1" applyAlignment="1">
      <alignment horizontal="left" vertical="top"/>
    </xf>
    <xf numFmtId="10" fontId="9" fillId="0" borderId="12" xfId="0" applyNumberFormat="1" applyFont="1" applyFill="1" applyBorder="1" applyAlignment="1">
      <alignment horizontal="left" vertical="top"/>
    </xf>
    <xf numFmtId="10" fontId="8" fillId="6" borderId="0" xfId="2" applyNumberFormat="1" applyFont="1" applyFill="1" applyBorder="1" applyAlignment="1">
      <alignment horizontal="left" vertical="top"/>
    </xf>
    <xf numFmtId="166" fontId="42" fillId="0" borderId="4" xfId="0" applyFont="1" applyFill="1" applyBorder="1" applyAlignment="1">
      <alignment horizontal="left" vertical="top"/>
    </xf>
    <xf numFmtId="166" fontId="42" fillId="0" borderId="5" xfId="0" applyFont="1" applyFill="1" applyBorder="1" applyAlignment="1">
      <alignment horizontal="left" vertical="top"/>
    </xf>
    <xf numFmtId="9" fontId="12" fillId="0" borderId="13" xfId="0" applyNumberFormat="1" applyFont="1" applyFill="1" applyBorder="1" applyAlignment="1">
      <alignment horizontal="left" vertical="top"/>
    </xf>
    <xf numFmtId="9" fontId="37" fillId="0" borderId="12" xfId="0" applyNumberFormat="1" applyFont="1" applyFill="1" applyBorder="1" applyAlignment="1">
      <alignment horizontal="left" vertical="top"/>
    </xf>
    <xf numFmtId="9" fontId="37" fillId="0" borderId="14" xfId="0" applyNumberFormat="1" applyFont="1" applyFill="1" applyBorder="1" applyAlignment="1">
      <alignment horizontal="left" vertical="top"/>
    </xf>
    <xf numFmtId="2" fontId="8" fillId="0" borderId="6" xfId="0" applyNumberFormat="1" applyFont="1" applyFill="1" applyBorder="1" applyAlignment="1">
      <alignment horizontal="left" vertical="top"/>
    </xf>
    <xf numFmtId="2" fontId="8" fillId="0" borderId="7" xfId="0" applyNumberFormat="1" applyFont="1" applyFill="1" applyBorder="1" applyAlignment="1">
      <alignment horizontal="left" vertical="top"/>
    </xf>
    <xf numFmtId="166" fontId="20" fillId="0" borderId="0" xfId="0" quotePrefix="1" applyFont="1" applyFill="1" applyBorder="1" applyAlignment="1">
      <alignment horizontal="left" vertical="top"/>
    </xf>
    <xf numFmtId="166" fontId="20" fillId="0" borderId="5" xfId="0" quotePrefix="1" applyFont="1" applyFill="1" applyBorder="1" applyAlignment="1">
      <alignment horizontal="left" vertical="top"/>
    </xf>
    <xf numFmtId="10" fontId="8" fillId="0" borderId="4" xfId="2" applyNumberFormat="1" applyFont="1" applyBorder="1" applyAlignment="1">
      <alignment horizontal="left" vertical="top"/>
    </xf>
    <xf numFmtId="166" fontId="8" fillId="0" borderId="4" xfId="0" applyFont="1" applyBorder="1" applyAlignment="1">
      <alignment horizontal="left" vertical="top"/>
    </xf>
    <xf numFmtId="10" fontId="8" fillId="9" borderId="9" xfId="0" applyNumberFormat="1" applyFont="1" applyFill="1" applyBorder="1" applyAlignment="1">
      <alignment horizontal="left" vertical="top"/>
    </xf>
    <xf numFmtId="10" fontId="9" fillId="9" borderId="10" xfId="0" applyNumberFormat="1" applyFont="1" applyFill="1" applyBorder="1" applyAlignment="1">
      <alignment horizontal="left" vertical="top"/>
    </xf>
    <xf numFmtId="166" fontId="8" fillId="14" borderId="2" xfId="0" applyFont="1" applyFill="1" applyBorder="1" applyAlignment="1">
      <alignment horizontal="left" vertical="top"/>
    </xf>
    <xf numFmtId="166" fontId="8" fillId="9" borderId="48" xfId="0" applyFont="1" applyFill="1" applyBorder="1" applyAlignment="1">
      <alignment vertical="top"/>
    </xf>
    <xf numFmtId="165" fontId="21" fillId="0" borderId="4" xfId="0" applyNumberFormat="1" applyFont="1" applyFill="1" applyBorder="1" applyAlignment="1">
      <alignment horizontal="left" vertical="top"/>
    </xf>
    <xf numFmtId="165" fontId="21" fillId="0" borderId="0" xfId="0" applyNumberFormat="1" applyFont="1" applyFill="1" applyBorder="1" applyAlignment="1">
      <alignment horizontal="left" vertical="top"/>
    </xf>
    <xf numFmtId="165" fontId="21" fillId="0" borderId="5" xfId="0" applyNumberFormat="1" applyFont="1" applyFill="1" applyBorder="1" applyAlignment="1">
      <alignment horizontal="left" vertical="top"/>
    </xf>
    <xf numFmtId="166" fontId="9" fillId="0" borderId="5" xfId="0" applyFont="1" applyFill="1" applyBorder="1" applyAlignment="1">
      <alignment horizontal="left" vertical="top"/>
    </xf>
    <xf numFmtId="10" fontId="3" fillId="0" borderId="4" xfId="2" applyNumberFormat="1" applyFont="1" applyFill="1" applyBorder="1" applyAlignment="1">
      <alignment horizontal="left" vertical="top"/>
    </xf>
    <xf numFmtId="10" fontId="3" fillId="0" borderId="0" xfId="2" applyNumberFormat="1" applyFont="1" applyFill="1" applyBorder="1" applyAlignment="1">
      <alignment horizontal="left" vertical="top"/>
    </xf>
    <xf numFmtId="10" fontId="49" fillId="11" borderId="4" xfId="2" quotePrefix="1" applyNumberFormat="1" applyFont="1" applyFill="1" applyBorder="1" applyAlignment="1">
      <alignment horizontal="left" vertical="top"/>
    </xf>
    <xf numFmtId="166" fontId="8" fillId="14" borderId="9" xfId="0" applyFont="1" applyFill="1" applyBorder="1" applyAlignment="1">
      <alignment horizontal="left" vertical="top"/>
    </xf>
    <xf numFmtId="166" fontId="8" fillId="14" borderId="10" xfId="0" applyFont="1" applyFill="1" applyBorder="1" applyAlignment="1">
      <alignment horizontal="left" vertical="top"/>
    </xf>
    <xf numFmtId="166" fontId="8" fillId="14" borderId="1" xfId="0" applyFont="1" applyFill="1" applyBorder="1" applyAlignment="1">
      <alignment horizontal="left" vertical="top"/>
    </xf>
    <xf numFmtId="10" fontId="37" fillId="0" borderId="7" xfId="2" quotePrefix="1" applyNumberFormat="1" applyFont="1" applyFill="1" applyBorder="1" applyAlignment="1">
      <alignment horizontal="left" vertical="top"/>
    </xf>
    <xf numFmtId="10" fontId="37" fillId="0" borderId="8" xfId="2" quotePrefix="1" applyNumberFormat="1" applyFont="1" applyFill="1" applyBorder="1" applyAlignment="1">
      <alignment horizontal="left" vertical="top"/>
    </xf>
    <xf numFmtId="166" fontId="13" fillId="0" borderId="4" xfId="0" applyFont="1" applyBorder="1" applyAlignment="1">
      <alignment horizontal="left" vertical="top"/>
    </xf>
    <xf numFmtId="166" fontId="8" fillId="14" borderId="2" xfId="0" applyFont="1" applyFill="1" applyBorder="1" applyAlignment="1">
      <alignment horizontal="right" vertical="top"/>
    </xf>
    <xf numFmtId="10" fontId="49" fillId="4" borderId="0" xfId="0" applyNumberFormat="1" applyFont="1" applyFill="1" applyBorder="1" applyAlignment="1">
      <alignment horizontal="left" vertical="top"/>
    </xf>
    <xf numFmtId="2" fontId="8" fillId="6" borderId="0" xfId="0" applyNumberFormat="1" applyFont="1" applyFill="1" applyBorder="1" applyAlignment="1">
      <alignment horizontal="left" vertical="top"/>
    </xf>
    <xf numFmtId="0" fontId="9" fillId="0" borderId="0" xfId="0" applyNumberFormat="1" applyFont="1" applyFill="1" applyAlignment="1">
      <alignment horizontal="left"/>
    </xf>
    <xf numFmtId="0" fontId="9" fillId="0" borderId="10" xfId="0" applyNumberFormat="1" applyFont="1" applyFill="1" applyBorder="1" applyAlignment="1">
      <alignment horizontal="left"/>
    </xf>
    <xf numFmtId="0" fontId="8" fillId="0" borderId="0" xfId="0" applyNumberFormat="1" applyFont="1" applyFill="1" applyAlignment="1">
      <alignment horizontal="left"/>
    </xf>
    <xf numFmtId="0" fontId="8" fillId="0" borderId="57" xfId="0" applyNumberFormat="1" applyFont="1" applyFill="1" applyBorder="1" applyAlignment="1">
      <alignment horizontal="left" indent="1"/>
    </xf>
    <xf numFmtId="0" fontId="8" fillId="0" borderId="12" xfId="0" applyNumberFormat="1" applyFont="1" applyFill="1" applyBorder="1" applyAlignment="1">
      <alignment horizontal="left"/>
    </xf>
    <xf numFmtId="0" fontId="8" fillId="0" borderId="10" xfId="0" applyNumberFormat="1" applyFont="1" applyFill="1" applyBorder="1" applyAlignment="1">
      <alignment horizontal="left" indent="1"/>
    </xf>
    <xf numFmtId="166" fontId="11" fillId="0" borderId="0" xfId="4" applyFont="1" applyFill="1" applyAlignment="1">
      <alignment horizontal="left" vertical="top"/>
    </xf>
    <xf numFmtId="166" fontId="42" fillId="0" borderId="0" xfId="0" applyFont="1" applyAlignment="1"/>
    <xf numFmtId="0" fontId="8" fillId="0" borderId="0" xfId="0" applyNumberFormat="1" applyFont="1" applyAlignment="1"/>
    <xf numFmtId="0" fontId="0" fillId="0" borderId="0" xfId="0" applyNumberFormat="1" applyAlignment="1"/>
    <xf numFmtId="0" fontId="0" fillId="0" borderId="0" xfId="2" applyNumberFormat="1" applyFont="1" applyAlignment="1">
      <alignment horizontal="left"/>
    </xf>
    <xf numFmtId="0" fontId="9" fillId="14" borderId="0" xfId="0" applyNumberFormat="1" applyFont="1" applyFill="1" applyBorder="1" applyAlignment="1"/>
    <xf numFmtId="0" fontId="9" fillId="6" borderId="0" xfId="0" applyNumberFormat="1" applyFont="1" applyFill="1" applyAlignment="1"/>
    <xf numFmtId="0" fontId="59" fillId="0" borderId="0" xfId="0" applyNumberFormat="1" applyFont="1" applyAlignment="1"/>
    <xf numFmtId="0" fontId="0" fillId="6" borderId="0" xfId="0" applyNumberFormat="1" applyFill="1" applyAlignment="1"/>
    <xf numFmtId="0" fontId="42" fillId="9" borderId="0" xfId="0" applyNumberFormat="1" applyFont="1" applyFill="1" applyBorder="1" applyAlignment="1">
      <alignment vertical="top"/>
    </xf>
    <xf numFmtId="0" fontId="42" fillId="9" borderId="0" xfId="2" applyNumberFormat="1" applyFont="1" applyFill="1" applyBorder="1" applyAlignment="1">
      <alignment horizontal="left" vertical="top"/>
    </xf>
    <xf numFmtId="10" fontId="21" fillId="0" borderId="5" xfId="0" applyNumberFormat="1" applyFont="1" applyFill="1" applyBorder="1" applyAlignment="1">
      <alignment horizontal="left" vertical="top"/>
    </xf>
    <xf numFmtId="0" fontId="21" fillId="0" borderId="42" xfId="2" applyNumberFormat="1" applyFont="1" applyFill="1" applyBorder="1" applyAlignment="1">
      <alignment horizontal="left" vertical="top"/>
    </xf>
    <xf numFmtId="0" fontId="21" fillId="0" borderId="43" xfId="2" applyNumberFormat="1" applyFont="1" applyFill="1" applyBorder="1" applyAlignment="1">
      <alignment horizontal="left" vertical="top"/>
    </xf>
    <xf numFmtId="166" fontId="44" fillId="0" borderId="2" xfId="0" applyFont="1" applyFill="1" applyBorder="1" applyAlignment="1">
      <alignment vertical="top"/>
    </xf>
    <xf numFmtId="9" fontId="8" fillId="6" borderId="0" xfId="2" quotePrefix="1" applyNumberFormat="1" applyFont="1" applyFill="1" applyBorder="1" applyAlignment="1">
      <alignment horizontal="left" vertical="top"/>
    </xf>
    <xf numFmtId="164" fontId="8" fillId="0" borderId="0" xfId="0" applyNumberFormat="1" applyFont="1" applyFill="1" applyBorder="1" applyAlignment="1">
      <alignment horizontal="left" vertical="top"/>
    </xf>
    <xf numFmtId="164" fontId="8" fillId="0" borderId="5" xfId="0" applyNumberFormat="1" applyFont="1" applyFill="1" applyBorder="1" applyAlignment="1">
      <alignment horizontal="left" vertical="top"/>
    </xf>
    <xf numFmtId="164" fontId="8" fillId="0" borderId="4" xfId="0" applyNumberFormat="1" applyFont="1" applyFill="1" applyBorder="1" applyAlignment="1">
      <alignment horizontal="left" vertical="top"/>
    </xf>
    <xf numFmtId="164" fontId="8" fillId="0" borderId="4" xfId="2" quotePrefix="1" applyNumberFormat="1" applyFont="1" applyFill="1" applyBorder="1" applyAlignment="1">
      <alignment horizontal="left" vertical="top"/>
    </xf>
    <xf numFmtId="164" fontId="8" fillId="0" borderId="0" xfId="2" quotePrefix="1" applyNumberFormat="1" applyFont="1" applyFill="1" applyBorder="1" applyAlignment="1">
      <alignment horizontal="left" vertical="top"/>
    </xf>
    <xf numFmtId="164" fontId="8" fillId="0" borderId="5" xfId="2" applyNumberFormat="1" applyFont="1" applyFill="1" applyBorder="1" applyAlignment="1">
      <alignment horizontal="left" vertical="top"/>
    </xf>
    <xf numFmtId="2" fontId="37" fillId="0" borderId="4" xfId="0" applyNumberFormat="1" applyFont="1" applyFill="1" applyBorder="1" applyAlignment="1">
      <alignment horizontal="left" vertical="top"/>
    </xf>
    <xf numFmtId="0" fontId="37" fillId="0" borderId="0" xfId="0" applyNumberFormat="1" applyFont="1" applyFill="1" applyBorder="1" applyAlignment="1">
      <alignment vertical="top"/>
    </xf>
    <xf numFmtId="0" fontId="8" fillId="0" borderId="0" xfId="0" applyNumberFormat="1" applyFont="1" applyBorder="1" applyAlignment="1">
      <alignment horizontal="left" vertical="top"/>
    </xf>
    <xf numFmtId="10" fontId="8" fillId="2" borderId="4" xfId="2" quotePrefix="1" applyNumberFormat="1" applyFont="1" applyFill="1" applyBorder="1" applyAlignment="1">
      <alignment horizontal="left" vertical="top"/>
    </xf>
    <xf numFmtId="0" fontId="42" fillId="0" borderId="0" xfId="0" applyNumberFormat="1" applyFont="1" applyFill="1" applyBorder="1" applyAlignment="1">
      <alignment horizontal="right" vertical="top"/>
    </xf>
    <xf numFmtId="10" fontId="8" fillId="2" borderId="0" xfId="2" quotePrefix="1" applyNumberFormat="1" applyFont="1" applyFill="1" applyBorder="1" applyAlignment="1">
      <alignment horizontal="left" vertical="top"/>
    </xf>
    <xf numFmtId="166" fontId="9" fillId="0" borderId="8" xfId="0" applyFont="1" applyFill="1" applyBorder="1" applyAlignment="1">
      <alignment vertical="top"/>
    </xf>
    <xf numFmtId="166" fontId="8" fillId="0" borderId="7" xfId="0" applyFont="1" applyFill="1" applyBorder="1" applyAlignment="1">
      <alignment horizontal="left" vertical="top"/>
    </xf>
    <xf numFmtId="17" fontId="37" fillId="0" borderId="5" xfId="0" applyNumberFormat="1" applyFont="1" applyFill="1" applyBorder="1" applyAlignment="1">
      <alignment horizontal="right" vertical="top"/>
    </xf>
    <xf numFmtId="0" fontId="14" fillId="0" borderId="0" xfId="0" applyNumberFormat="1" applyFont="1" applyFill="1" applyBorder="1" applyAlignment="1">
      <alignment horizontal="left" vertical="top"/>
    </xf>
    <xf numFmtId="0" fontId="23" fillId="0" borderId="0" xfId="0" applyNumberFormat="1" applyFont="1" applyFill="1" applyBorder="1" applyAlignment="1">
      <alignment horizontal="left" vertical="top"/>
    </xf>
    <xf numFmtId="0" fontId="12" fillId="0" borderId="0" xfId="0" applyNumberFormat="1" applyFont="1" applyFill="1" applyBorder="1" applyAlignment="1">
      <alignment horizontal="left" vertical="top"/>
    </xf>
    <xf numFmtId="0" fontId="0" fillId="0" borderId="12" xfId="0" applyNumberFormat="1" applyFill="1" applyBorder="1" applyAlignment="1">
      <alignment vertical="top"/>
    </xf>
    <xf numFmtId="0" fontId="65" fillId="0" borderId="12" xfId="2" quotePrefix="1" applyNumberFormat="1" applyFont="1" applyFill="1" applyBorder="1" applyAlignment="1">
      <alignment horizontal="left" vertical="top"/>
    </xf>
    <xf numFmtId="166" fontId="8" fillId="0" borderId="12" xfId="0" applyFont="1" applyFill="1" applyBorder="1" applyAlignment="1">
      <alignment horizontal="left" vertical="top"/>
    </xf>
    <xf numFmtId="10" fontId="3" fillId="0" borderId="12" xfId="0" applyNumberFormat="1" applyFont="1" applyFill="1" applyBorder="1" applyAlignment="1">
      <alignment horizontal="left" vertical="top"/>
    </xf>
    <xf numFmtId="10" fontId="22" fillId="0" borderId="12" xfId="0" applyNumberFormat="1" applyFont="1" applyFill="1" applyBorder="1" applyAlignment="1">
      <alignment horizontal="left" vertical="top"/>
    </xf>
    <xf numFmtId="10" fontId="8" fillId="0" borderId="12" xfId="0" applyNumberFormat="1" applyFont="1" applyFill="1" applyBorder="1" applyAlignment="1">
      <alignment horizontal="left" vertical="top"/>
    </xf>
    <xf numFmtId="10" fontId="8" fillId="2" borderId="11" xfId="0" applyNumberFormat="1" applyFont="1" applyFill="1" applyBorder="1" applyAlignment="1">
      <alignment horizontal="left" vertical="top"/>
    </xf>
    <xf numFmtId="166" fontId="8" fillId="0" borderId="13" xfId="0" quotePrefix="1" applyFont="1" applyFill="1" applyBorder="1" applyAlignment="1">
      <alignment horizontal="left" vertical="top"/>
    </xf>
    <xf numFmtId="166" fontId="0" fillId="0" borderId="12" xfId="0" applyFill="1" applyBorder="1" applyAlignment="1">
      <alignment vertical="top"/>
    </xf>
    <xf numFmtId="0" fontId="9" fillId="0" borderId="8" xfId="0" applyNumberFormat="1" applyFont="1" applyBorder="1" applyAlignment="1">
      <alignment horizontal="left" vertical="top"/>
    </xf>
    <xf numFmtId="166" fontId="27" fillId="11" borderId="9" xfId="0" applyFont="1" applyFill="1" applyBorder="1" applyAlignment="1">
      <alignment horizontal="left" vertical="top"/>
    </xf>
    <xf numFmtId="10" fontId="27" fillId="11" borderId="6" xfId="2" quotePrefix="1" applyNumberFormat="1" applyFont="1" applyFill="1" applyBorder="1" applyAlignment="1">
      <alignment horizontal="left" vertical="top"/>
    </xf>
    <xf numFmtId="166" fontId="27" fillId="4" borderId="2" xfId="0" applyFont="1" applyFill="1" applyBorder="1" applyAlignment="1">
      <alignment horizontal="left" vertical="top"/>
    </xf>
    <xf numFmtId="10" fontId="49" fillId="4" borderId="0" xfId="2" applyNumberFormat="1" applyFont="1" applyFill="1" applyBorder="1" applyAlignment="1">
      <alignment horizontal="left" vertical="top"/>
    </xf>
    <xf numFmtId="10" fontId="27" fillId="4" borderId="6" xfId="0" applyNumberFormat="1" applyFont="1" applyFill="1" applyBorder="1" applyAlignment="1">
      <alignment horizontal="left" vertical="top"/>
    </xf>
    <xf numFmtId="166" fontId="8" fillId="0" borderId="1" xfId="0" applyFont="1" applyFill="1" applyBorder="1" applyAlignment="1">
      <alignment horizontal="left" vertical="top"/>
    </xf>
    <xf numFmtId="166" fontId="8" fillId="0" borderId="6" xfId="0" applyFont="1" applyFill="1" applyBorder="1" applyAlignment="1">
      <alignment horizontal="left" vertical="top"/>
    </xf>
    <xf numFmtId="10" fontId="8" fillId="0" borderId="8" xfId="2" applyNumberFormat="1" applyFont="1" applyFill="1" applyBorder="1" applyAlignment="1">
      <alignment horizontal="left" vertical="top"/>
    </xf>
    <xf numFmtId="165" fontId="8" fillId="0" borderId="13" xfId="0" applyNumberFormat="1" applyFont="1" applyFill="1" applyBorder="1" applyAlignment="1">
      <alignment horizontal="left" vertical="top"/>
    </xf>
    <xf numFmtId="165" fontId="8" fillId="0" borderId="14" xfId="0" applyNumberFormat="1" applyFont="1" applyFill="1" applyBorder="1" applyAlignment="1">
      <alignment horizontal="left" vertical="top"/>
    </xf>
    <xf numFmtId="10" fontId="8" fillId="0" borderId="5" xfId="0" applyNumberFormat="1" applyFont="1" applyBorder="1" applyAlignment="1">
      <alignment horizontal="left" vertical="top"/>
    </xf>
    <xf numFmtId="0" fontId="8" fillId="0" borderId="5" xfId="2" applyNumberFormat="1" applyFont="1" applyFill="1" applyBorder="1" applyAlignment="1">
      <alignment horizontal="left" vertical="top"/>
    </xf>
    <xf numFmtId="0" fontId="8" fillId="0" borderId="6" xfId="2" applyNumberFormat="1" applyFont="1" applyFill="1" applyBorder="1" applyAlignment="1">
      <alignment horizontal="left" vertical="top"/>
    </xf>
    <xf numFmtId="0" fontId="8" fillId="0" borderId="7" xfId="2" applyNumberFormat="1" applyFont="1" applyFill="1" applyBorder="1" applyAlignment="1">
      <alignment horizontal="left" vertical="top"/>
    </xf>
    <xf numFmtId="0" fontId="8" fillId="0" borderId="8" xfId="2" applyNumberFormat="1" applyFont="1" applyFill="1" applyBorder="1" applyAlignment="1">
      <alignment horizontal="left" vertical="top"/>
    </xf>
    <xf numFmtId="2" fontId="8" fillId="0" borderId="13" xfId="0" applyNumberFormat="1" applyFont="1" applyFill="1" applyBorder="1" applyAlignment="1">
      <alignment horizontal="left" vertical="top"/>
    </xf>
    <xf numFmtId="2" fontId="8" fillId="0" borderId="12" xfId="0" applyNumberFormat="1" applyFont="1" applyFill="1" applyBorder="1" applyAlignment="1">
      <alignment horizontal="left" vertical="top"/>
    </xf>
    <xf numFmtId="2" fontId="8" fillId="0" borderId="14" xfId="0" applyNumberFormat="1" applyFont="1" applyFill="1" applyBorder="1" applyAlignment="1">
      <alignment horizontal="left" vertical="top"/>
    </xf>
    <xf numFmtId="10" fontId="8" fillId="2" borderId="5" xfId="2" applyNumberFormat="1" applyFont="1" applyFill="1" applyBorder="1" applyAlignment="1">
      <alignment horizontal="left" vertical="top"/>
    </xf>
    <xf numFmtId="10" fontId="8" fillId="0" borderId="5" xfId="2" applyNumberFormat="1" applyFont="1" applyBorder="1" applyAlignment="1">
      <alignment horizontal="left" vertical="top"/>
    </xf>
    <xf numFmtId="10" fontId="23" fillId="0" borderId="5" xfId="2" applyNumberFormat="1" applyFont="1" applyFill="1" applyBorder="1" applyAlignment="1">
      <alignment horizontal="left" vertical="top"/>
    </xf>
    <xf numFmtId="10" fontId="23" fillId="0" borderId="8" xfId="2" applyNumberFormat="1" applyFont="1" applyFill="1" applyBorder="1" applyAlignment="1">
      <alignment horizontal="left" vertical="top"/>
    </xf>
    <xf numFmtId="10" fontId="23" fillId="0" borderId="13" xfId="2" applyNumberFormat="1" applyFont="1" applyFill="1" applyBorder="1" applyAlignment="1">
      <alignment horizontal="left" vertical="top"/>
    </xf>
    <xf numFmtId="2" fontId="23" fillId="0" borderId="13" xfId="0" applyNumberFormat="1" applyFont="1" applyFill="1" applyBorder="1" applyAlignment="1">
      <alignment horizontal="left" vertical="top"/>
    </xf>
    <xf numFmtId="2" fontId="23" fillId="0" borderId="12" xfId="0" applyNumberFormat="1" applyFont="1" applyFill="1" applyBorder="1" applyAlignment="1">
      <alignment horizontal="left" vertical="top"/>
    </xf>
    <xf numFmtId="2" fontId="23" fillId="0" borderId="14" xfId="0" applyNumberFormat="1" applyFont="1" applyFill="1" applyBorder="1" applyAlignment="1">
      <alignment horizontal="left" vertical="top"/>
    </xf>
    <xf numFmtId="0" fontId="8" fillId="0" borderId="5" xfId="0" applyNumberFormat="1" applyFont="1" applyBorder="1" applyAlignment="1">
      <alignment horizontal="left" vertical="top"/>
    </xf>
    <xf numFmtId="10" fontId="49" fillId="0" borderId="0" xfId="2" quotePrefix="1" applyNumberFormat="1" applyFont="1" applyFill="1" applyBorder="1" applyAlignment="1">
      <alignment horizontal="left" vertical="top"/>
    </xf>
    <xf numFmtId="166" fontId="9" fillId="14" borderId="0" xfId="0" applyFont="1" applyFill="1" applyBorder="1" applyAlignment="1">
      <alignment horizontal="left" vertical="top"/>
    </xf>
    <xf numFmtId="10" fontId="8" fillId="14" borderId="0" xfId="2" quotePrefix="1" applyNumberFormat="1" applyFont="1" applyFill="1" applyBorder="1" applyAlignment="1">
      <alignment horizontal="left" vertical="top"/>
    </xf>
    <xf numFmtId="10" fontId="8" fillId="14" borderId="4" xfId="2" quotePrefix="1" applyNumberFormat="1" applyFont="1" applyFill="1" applyBorder="1" applyAlignment="1">
      <alignment horizontal="left" vertical="top"/>
    </xf>
    <xf numFmtId="10" fontId="8" fillId="14" borderId="4" xfId="2" applyNumberFormat="1" applyFont="1" applyFill="1" applyBorder="1" applyAlignment="1">
      <alignment horizontal="left" vertical="top"/>
    </xf>
    <xf numFmtId="10" fontId="8" fillId="14" borderId="0" xfId="2" applyNumberFormat="1" applyFont="1" applyFill="1" applyBorder="1" applyAlignment="1">
      <alignment horizontal="left" vertical="top"/>
    </xf>
    <xf numFmtId="10" fontId="8" fillId="5" borderId="4" xfId="2" applyNumberFormat="1" applyFont="1" applyFill="1" applyBorder="1" applyAlignment="1">
      <alignment horizontal="left" vertical="top"/>
    </xf>
    <xf numFmtId="10" fontId="8" fillId="2" borderId="0" xfId="0" applyNumberFormat="1" applyFont="1" applyFill="1" applyBorder="1" applyAlignment="1">
      <alignment horizontal="left" vertical="top"/>
    </xf>
    <xf numFmtId="10" fontId="8" fillId="5" borderId="0" xfId="2" applyNumberFormat="1" applyFont="1" applyFill="1" applyBorder="1" applyAlignment="1">
      <alignment horizontal="left" vertical="top"/>
    </xf>
    <xf numFmtId="10" fontId="8" fillId="2" borderId="5" xfId="0" applyNumberFormat="1" applyFont="1" applyFill="1" applyBorder="1" applyAlignment="1">
      <alignment horizontal="left" vertical="top"/>
    </xf>
    <xf numFmtId="10" fontId="8" fillId="14" borderId="5" xfId="2" applyNumberFormat="1" applyFont="1" applyFill="1" applyBorder="1" applyAlignment="1">
      <alignment horizontal="left" vertical="top"/>
    </xf>
    <xf numFmtId="166" fontId="9" fillId="14" borderId="49" xfId="0" applyFont="1" applyFill="1" applyBorder="1" applyAlignment="1">
      <alignment horizontal="left" vertical="top"/>
    </xf>
    <xf numFmtId="166" fontId="9" fillId="14" borderId="44" xfId="0" quotePrefix="1" applyFont="1" applyFill="1" applyBorder="1" applyAlignment="1">
      <alignment horizontal="left" vertical="top"/>
    </xf>
    <xf numFmtId="10" fontId="8" fillId="14" borderId="65" xfId="2" quotePrefix="1" applyNumberFormat="1" applyFont="1" applyFill="1" applyBorder="1" applyAlignment="1">
      <alignment horizontal="left" vertical="top"/>
    </xf>
    <xf numFmtId="10" fontId="37" fillId="0" borderId="57" xfId="2" quotePrefix="1" applyNumberFormat="1" applyFont="1" applyFill="1" applyBorder="1" applyAlignment="1">
      <alignment horizontal="left" vertical="top"/>
    </xf>
    <xf numFmtId="10" fontId="37" fillId="0" borderId="66" xfId="2" quotePrefix="1" applyNumberFormat="1" applyFont="1" applyFill="1" applyBorder="1" applyAlignment="1">
      <alignment horizontal="left" vertical="top"/>
    </xf>
    <xf numFmtId="10" fontId="27" fillId="11" borderId="65" xfId="2" quotePrefix="1" applyNumberFormat="1" applyFont="1" applyFill="1" applyBorder="1" applyAlignment="1">
      <alignment horizontal="left" vertical="top"/>
    </xf>
    <xf numFmtId="10" fontId="27" fillId="11" borderId="42" xfId="2" quotePrefix="1" applyNumberFormat="1" applyFont="1" applyFill="1" applyBorder="1" applyAlignment="1">
      <alignment horizontal="left" vertical="top"/>
    </xf>
    <xf numFmtId="166" fontId="10" fillId="0" borderId="4" xfId="0" applyFont="1" applyBorder="1" applyAlignment="1">
      <alignment horizontal="left" vertical="top"/>
    </xf>
    <xf numFmtId="166" fontId="10" fillId="0" borderId="5" xfId="0" applyFont="1" applyBorder="1" applyAlignment="1">
      <alignment horizontal="left" vertical="top"/>
    </xf>
    <xf numFmtId="10" fontId="8" fillId="5" borderId="68" xfId="2" applyNumberFormat="1" applyFont="1" applyFill="1" applyBorder="1" applyAlignment="1">
      <alignment horizontal="left" vertical="top"/>
    </xf>
    <xf numFmtId="10" fontId="8" fillId="2" borderId="68" xfId="0" applyNumberFormat="1" applyFont="1" applyFill="1" applyBorder="1" applyAlignment="1">
      <alignment horizontal="left" vertical="top"/>
    </xf>
    <xf numFmtId="10" fontId="8" fillId="5" borderId="66" xfId="2" applyNumberFormat="1" applyFont="1" applyFill="1" applyBorder="1" applyAlignment="1">
      <alignment horizontal="left" vertical="top"/>
    </xf>
    <xf numFmtId="10" fontId="8" fillId="2" borderId="67" xfId="0" applyNumberFormat="1" applyFont="1" applyFill="1" applyBorder="1" applyAlignment="1">
      <alignment horizontal="left" vertical="top"/>
    </xf>
    <xf numFmtId="10" fontId="8" fillId="14" borderId="65" xfId="2" applyNumberFormat="1" applyFont="1" applyFill="1" applyBorder="1" applyAlignment="1">
      <alignment horizontal="left" vertical="top"/>
    </xf>
    <xf numFmtId="10" fontId="27" fillId="4" borderId="57" xfId="0" applyNumberFormat="1" applyFont="1" applyFill="1" applyBorder="1" applyAlignment="1">
      <alignment horizontal="left" vertical="top"/>
    </xf>
    <xf numFmtId="10" fontId="8" fillId="14" borderId="57" xfId="2" applyNumberFormat="1" applyFont="1" applyFill="1" applyBorder="1" applyAlignment="1">
      <alignment horizontal="left" vertical="top"/>
    </xf>
    <xf numFmtId="10" fontId="27" fillId="4" borderId="43" xfId="0" applyNumberFormat="1" applyFont="1" applyFill="1" applyBorder="1" applyAlignment="1">
      <alignment horizontal="left" vertical="top"/>
    </xf>
    <xf numFmtId="10" fontId="9" fillId="0" borderId="44" xfId="2" applyNumberFormat="1" applyFont="1" applyFill="1" applyBorder="1" applyAlignment="1">
      <alignment horizontal="left" vertical="top" wrapText="1"/>
    </xf>
    <xf numFmtId="10" fontId="8" fillId="14" borderId="66" xfId="2" applyNumberFormat="1" applyFont="1" applyFill="1" applyBorder="1" applyAlignment="1">
      <alignment horizontal="left" vertical="top"/>
    </xf>
    <xf numFmtId="166" fontId="9" fillId="14" borderId="42" xfId="0" applyFont="1" applyFill="1" applyBorder="1" applyAlignment="1">
      <alignment horizontal="left" vertical="top"/>
    </xf>
    <xf numFmtId="10" fontId="9" fillId="0" borderId="43" xfId="2" applyNumberFormat="1" applyFont="1" applyFill="1" applyBorder="1" applyAlignment="1">
      <alignment horizontal="left" vertical="top" wrapText="1"/>
    </xf>
    <xf numFmtId="10" fontId="37" fillId="0" borderId="43" xfId="2" quotePrefix="1" applyNumberFormat="1" applyFont="1" applyFill="1" applyBorder="1" applyAlignment="1">
      <alignment horizontal="left" vertical="top"/>
    </xf>
    <xf numFmtId="10" fontId="37" fillId="0" borderId="44" xfId="2" quotePrefix="1" applyNumberFormat="1" applyFont="1" applyFill="1" applyBorder="1" applyAlignment="1">
      <alignment horizontal="left" vertical="top"/>
    </xf>
    <xf numFmtId="10" fontId="37" fillId="0" borderId="9" xfId="0" applyNumberFormat="1" applyFont="1" applyFill="1" applyBorder="1" applyAlignment="1">
      <alignment horizontal="left" vertical="top"/>
    </xf>
    <xf numFmtId="166" fontId="37" fillId="0" borderId="9" xfId="0" applyFont="1" applyFill="1" applyBorder="1" applyAlignment="1">
      <alignment horizontal="left" vertical="top"/>
    </xf>
    <xf numFmtId="10" fontId="9" fillId="2" borderId="65" xfId="2" quotePrefix="1" applyNumberFormat="1" applyFont="1" applyFill="1" applyBorder="1" applyAlignment="1">
      <alignment horizontal="left" vertical="top"/>
    </xf>
    <xf numFmtId="10" fontId="9" fillId="2" borderId="42" xfId="2" quotePrefix="1" applyNumberFormat="1" applyFont="1" applyFill="1" applyBorder="1" applyAlignment="1">
      <alignment horizontal="left" vertical="top"/>
    </xf>
    <xf numFmtId="10" fontId="9" fillId="2" borderId="6" xfId="2" quotePrefix="1" applyNumberFormat="1" applyFont="1" applyFill="1" applyBorder="1" applyAlignment="1">
      <alignment horizontal="left" vertical="top"/>
    </xf>
    <xf numFmtId="166" fontId="9" fillId="12" borderId="9" xfId="0" applyFont="1" applyFill="1" applyBorder="1" applyAlignment="1">
      <alignment vertical="top"/>
    </xf>
    <xf numFmtId="10" fontId="51" fillId="12" borderId="1" xfId="0" applyNumberFormat="1" applyFont="1" applyFill="1" applyBorder="1" applyAlignment="1">
      <alignment horizontal="left" vertical="top"/>
    </xf>
    <xf numFmtId="10" fontId="27" fillId="12" borderId="2" xfId="0" applyNumberFormat="1" applyFont="1" applyFill="1" applyBorder="1" applyAlignment="1">
      <alignment horizontal="left" vertical="top"/>
    </xf>
    <xf numFmtId="10" fontId="49" fillId="12" borderId="0" xfId="2" quotePrefix="1" applyNumberFormat="1" applyFont="1" applyFill="1" applyBorder="1" applyAlignment="1">
      <alignment horizontal="left" vertical="top"/>
    </xf>
    <xf numFmtId="10" fontId="27" fillId="12" borderId="57" xfId="2" quotePrefix="1" applyNumberFormat="1" applyFont="1" applyFill="1" applyBorder="1" applyAlignment="1">
      <alignment horizontal="left" vertical="top"/>
    </xf>
    <xf numFmtId="10" fontId="27" fillId="12" borderId="43" xfId="2" quotePrefix="1" applyNumberFormat="1" applyFont="1" applyFill="1" applyBorder="1" applyAlignment="1">
      <alignment horizontal="left" vertical="top"/>
    </xf>
    <xf numFmtId="10" fontId="27" fillId="12" borderId="11" xfId="2" quotePrefix="1" applyNumberFormat="1" applyFont="1" applyFill="1" applyBorder="1" applyAlignment="1">
      <alignment horizontal="left" vertical="top"/>
    </xf>
    <xf numFmtId="166" fontId="9" fillId="2" borderId="9" xfId="0" applyFont="1" applyFill="1" applyBorder="1" applyAlignment="1">
      <alignment vertical="top"/>
    </xf>
    <xf numFmtId="10" fontId="51" fillId="2" borderId="1" xfId="0" applyNumberFormat="1" applyFont="1" applyFill="1" applyBorder="1" applyAlignment="1">
      <alignment horizontal="left" vertical="top"/>
    </xf>
    <xf numFmtId="10" fontId="9" fillId="2" borderId="57" xfId="2" quotePrefix="1" applyNumberFormat="1" applyFont="1" applyFill="1" applyBorder="1" applyAlignment="1">
      <alignment horizontal="left" vertical="top"/>
    </xf>
    <xf numFmtId="10" fontId="9" fillId="2" borderId="43" xfId="2" quotePrefix="1" applyNumberFormat="1" applyFont="1" applyFill="1" applyBorder="1" applyAlignment="1">
      <alignment horizontal="left" vertical="top"/>
    </xf>
    <xf numFmtId="10" fontId="9" fillId="2" borderId="11" xfId="2" quotePrefix="1" applyNumberFormat="1" applyFont="1" applyFill="1" applyBorder="1" applyAlignment="1">
      <alignment horizontal="left" vertical="top"/>
    </xf>
    <xf numFmtId="166" fontId="8" fillId="0" borderId="43" xfId="0" applyFont="1" applyBorder="1" applyAlignment="1"/>
    <xf numFmtId="2" fontId="0" fillId="0" borderId="43" xfId="0" applyNumberFormat="1" applyBorder="1" applyAlignment="1">
      <alignment horizontal="left"/>
    </xf>
    <xf numFmtId="2" fontId="22" fillId="0" borderId="43" xfId="0" applyNumberFormat="1" applyFont="1" applyBorder="1" applyAlignment="1">
      <alignment horizontal="left"/>
    </xf>
    <xf numFmtId="165" fontId="28" fillId="0" borderId="12" xfId="2" applyNumberFormat="1" applyFont="1" applyBorder="1" applyAlignment="1">
      <alignment horizontal="left"/>
    </xf>
    <xf numFmtId="165" fontId="22" fillId="0" borderId="12" xfId="2" applyNumberFormat="1" applyFont="1" applyBorder="1" applyAlignment="1">
      <alignment horizontal="left"/>
    </xf>
    <xf numFmtId="10" fontId="9" fillId="0" borderId="43" xfId="0" applyNumberFormat="1" applyFont="1" applyBorder="1" applyAlignment="1">
      <alignment horizontal="left"/>
    </xf>
    <xf numFmtId="10" fontId="28" fillId="0" borderId="43" xfId="2" applyNumberFormat="1" applyFont="1" applyBorder="1" applyAlignment="1">
      <alignment horizontal="left"/>
    </xf>
    <xf numFmtId="10" fontId="0" fillId="0" borderId="43" xfId="0" applyNumberFormat="1" applyBorder="1" applyAlignment="1">
      <alignment horizontal="left"/>
    </xf>
    <xf numFmtId="10" fontId="22" fillId="0" borderId="43" xfId="2" applyNumberFormat="1" applyFont="1" applyBorder="1" applyAlignment="1">
      <alignment horizontal="left"/>
    </xf>
    <xf numFmtId="2" fontId="42" fillId="0" borderId="0" xfId="0" applyNumberFormat="1" applyFont="1" applyBorder="1" applyAlignment="1">
      <alignment horizontal="left"/>
    </xf>
    <xf numFmtId="165" fontId="0" fillId="0" borderId="12" xfId="0" applyNumberFormat="1" applyBorder="1" applyAlignment="1">
      <alignment horizontal="left"/>
    </xf>
    <xf numFmtId="165" fontId="22" fillId="0" borderId="12" xfId="0" applyNumberFormat="1" applyFont="1" applyBorder="1" applyAlignment="1">
      <alignment horizontal="left"/>
    </xf>
    <xf numFmtId="168" fontId="8" fillId="0" borderId="22" xfId="0" applyNumberFormat="1" applyFont="1" applyFill="1" applyBorder="1" applyAlignment="1">
      <alignment horizontal="left" vertical="top"/>
    </xf>
    <xf numFmtId="168" fontId="8" fillId="0" borderId="4" xfId="0" applyNumberFormat="1" applyFont="1" applyFill="1" applyBorder="1" applyAlignment="1">
      <alignment horizontal="left" vertical="top"/>
    </xf>
    <xf numFmtId="2" fontId="48" fillId="0" borderId="0" xfId="0" applyNumberFormat="1" applyFont="1" applyFill="1" applyBorder="1" applyAlignment="1">
      <alignment horizontal="left" vertical="top"/>
    </xf>
    <xf numFmtId="2" fontId="48" fillId="0" borderId="5" xfId="0" applyNumberFormat="1" applyFont="1" applyFill="1" applyBorder="1" applyAlignment="1">
      <alignment horizontal="left" vertical="top"/>
    </xf>
    <xf numFmtId="2" fontId="48" fillId="0" borderId="21" xfId="0" applyNumberFormat="1" applyFont="1" applyFill="1" applyBorder="1" applyAlignment="1">
      <alignment horizontal="left" vertical="top"/>
    </xf>
    <xf numFmtId="9" fontId="0" fillId="0" borderId="0" xfId="2" applyFont="1" applyBorder="1" applyAlignment="1">
      <alignment horizontal="left"/>
    </xf>
    <xf numFmtId="0" fontId="9" fillId="0" borderId="43" xfId="0" applyNumberFormat="1" applyFont="1" applyFill="1" applyBorder="1" applyAlignment="1">
      <alignment horizontal="left" indent="1"/>
    </xf>
    <xf numFmtId="165" fontId="9" fillId="0" borderId="43" xfId="0" applyNumberFormat="1" applyFont="1" applyFill="1" applyBorder="1" applyAlignment="1">
      <alignment horizontal="left" indent="1"/>
    </xf>
    <xf numFmtId="165" fontId="8" fillId="0" borderId="43" xfId="0" applyNumberFormat="1" applyFont="1" applyFill="1" applyBorder="1" applyAlignment="1">
      <alignment horizontal="left" indent="1"/>
    </xf>
    <xf numFmtId="165" fontId="9" fillId="0" borderId="57" xfId="2" applyNumberFormat="1" applyFont="1" applyFill="1" applyBorder="1" applyAlignment="1">
      <alignment horizontal="left" indent="1"/>
    </xf>
    <xf numFmtId="165" fontId="8" fillId="0" borderId="57" xfId="2" applyNumberFormat="1" applyFont="1" applyFill="1" applyBorder="1" applyAlignment="1">
      <alignment horizontal="left" indent="1"/>
    </xf>
    <xf numFmtId="0" fontId="0" fillId="0" borderId="0" xfId="0" applyNumberFormat="1" applyAlignment="1">
      <alignment horizontal="left"/>
    </xf>
    <xf numFmtId="0" fontId="0" fillId="0" borderId="0" xfId="0" quotePrefix="1" applyNumberFormat="1" applyAlignment="1">
      <alignment horizontal="left"/>
    </xf>
    <xf numFmtId="0" fontId="26" fillId="0" borderId="0" xfId="0" applyNumberFormat="1" applyFont="1" applyAlignment="1">
      <alignment horizontal="left"/>
    </xf>
    <xf numFmtId="0" fontId="63" fillId="9" borderId="52" xfId="0" applyNumberFormat="1" applyFont="1" applyFill="1" applyBorder="1" applyAlignment="1">
      <alignment horizontal="left" vertical="top"/>
    </xf>
    <xf numFmtId="0" fontId="63" fillId="9" borderId="52" xfId="0" applyNumberFormat="1" applyFont="1" applyFill="1" applyBorder="1" applyAlignment="1">
      <alignment vertical="top"/>
    </xf>
    <xf numFmtId="0" fontId="9" fillId="0" borderId="0" xfId="0" applyNumberFormat="1" applyFont="1" applyFill="1" applyBorder="1" applyAlignment="1">
      <alignment vertical="top"/>
    </xf>
    <xf numFmtId="9" fontId="8" fillId="0" borderId="4" xfId="2" applyNumberFormat="1" applyFont="1" applyFill="1" applyBorder="1" applyAlignment="1">
      <alignment horizontal="left" vertical="top"/>
    </xf>
    <xf numFmtId="166" fontId="9" fillId="0" borderId="4" xfId="0" applyFont="1" applyFill="1" applyBorder="1" applyAlignment="1">
      <alignment horizontal="left" vertical="top"/>
    </xf>
    <xf numFmtId="166" fontId="9" fillId="2" borderId="0" xfId="0" applyNumberFormat="1" applyFont="1" applyFill="1" applyAlignment="1"/>
    <xf numFmtId="166" fontId="9" fillId="0" borderId="0" xfId="0" applyFont="1" applyBorder="1" applyAlignment="1"/>
    <xf numFmtId="166" fontId="0" fillId="0" borderId="12" xfId="0" applyBorder="1" applyAlignment="1"/>
    <xf numFmtId="10" fontId="0" fillId="0" borderId="7" xfId="0" applyNumberFormat="1" applyBorder="1" applyAlignment="1">
      <alignment horizontal="left"/>
    </xf>
    <xf numFmtId="10" fontId="0" fillId="0" borderId="7" xfId="0" applyNumberFormat="1" applyBorder="1" applyAlignment="1">
      <alignment horizontal="center"/>
    </xf>
    <xf numFmtId="9" fontId="0" fillId="0" borderId="12" xfId="0" applyNumberFormat="1" applyBorder="1" applyAlignment="1">
      <alignment horizontal="left"/>
    </xf>
    <xf numFmtId="166" fontId="8" fillId="0" borderId="0" xfId="0" applyFont="1" applyBorder="1" applyAlignment="1">
      <alignment horizontal="left"/>
    </xf>
    <xf numFmtId="10" fontId="42" fillId="0" borderId="0" xfId="0" applyNumberFormat="1" applyFont="1" applyBorder="1" applyAlignment="1">
      <alignment horizontal="left"/>
    </xf>
    <xf numFmtId="10" fontId="8" fillId="0" borderId="0" xfId="0" applyNumberFormat="1" applyFont="1" applyBorder="1" applyAlignment="1">
      <alignment horizontal="left"/>
    </xf>
    <xf numFmtId="166" fontId="9" fillId="0" borderId="10" xfId="0" applyFont="1" applyBorder="1" applyAlignment="1">
      <alignment horizontal="left"/>
    </xf>
    <xf numFmtId="166" fontId="0" fillId="0" borderId="46" xfId="0" applyBorder="1" applyAlignment="1"/>
    <xf numFmtId="166" fontId="8" fillId="0" borderId="0" xfId="0" applyFont="1" applyAlignment="1"/>
    <xf numFmtId="9" fontId="0" fillId="0" borderId="0" xfId="2" applyFont="1" applyAlignment="1">
      <alignment horizontal="left"/>
    </xf>
    <xf numFmtId="9" fontId="0" fillId="0" borderId="46" xfId="2" applyFont="1" applyBorder="1" applyAlignment="1">
      <alignment horizontal="left"/>
    </xf>
    <xf numFmtId="166" fontId="42" fillId="0" borderId="7" xfId="0" applyFont="1" applyBorder="1" applyAlignment="1"/>
    <xf numFmtId="9" fontId="42" fillId="0" borderId="0" xfId="0" applyNumberFormat="1" applyFont="1" applyBorder="1" applyAlignment="1">
      <alignment horizontal="left"/>
    </xf>
    <xf numFmtId="166" fontId="57" fillId="0" borderId="0" xfId="0" applyFont="1" applyBorder="1" applyAlignment="1"/>
    <xf numFmtId="166" fontId="42" fillId="0" borderId="0" xfId="0" applyFont="1" applyFill="1" applyBorder="1" applyAlignment="1"/>
    <xf numFmtId="166" fontId="42" fillId="0" borderId="46" xfId="0" applyFont="1" applyFill="1" applyBorder="1" applyAlignment="1"/>
    <xf numFmtId="9" fontId="42" fillId="0" borderId="46" xfId="2" applyFont="1" applyBorder="1" applyAlignment="1">
      <alignment horizontal="left"/>
    </xf>
    <xf numFmtId="2" fontId="8" fillId="0" borderId="0" xfId="0" applyNumberFormat="1" applyFont="1" applyBorder="1" applyAlignment="1">
      <alignment horizontal="left"/>
    </xf>
    <xf numFmtId="166" fontId="8" fillId="0" borderId="46" xfId="0" applyFont="1" applyBorder="1" applyAlignment="1"/>
    <xf numFmtId="166" fontId="9" fillId="0" borderId="46" xfId="0" applyFont="1" applyBorder="1" applyAlignment="1"/>
    <xf numFmtId="10" fontId="0" fillId="0" borderId="46" xfId="0" applyNumberFormat="1" applyBorder="1" applyAlignment="1">
      <alignment horizontal="left"/>
    </xf>
    <xf numFmtId="166" fontId="9" fillId="0" borderId="43" xfId="0" applyFont="1" applyBorder="1" applyAlignment="1"/>
    <xf numFmtId="166" fontId="8" fillId="0" borderId="0" xfId="0" applyFont="1" applyFill="1" applyBorder="1" applyAlignment="1">
      <alignment horizontal="center"/>
    </xf>
    <xf numFmtId="10" fontId="9" fillId="0" borderId="0" xfId="2" applyNumberFormat="1" applyFont="1" applyBorder="1" applyAlignment="1">
      <alignment horizontal="left"/>
    </xf>
    <xf numFmtId="10" fontId="8" fillId="0" borderId="0" xfId="2" applyNumberFormat="1" applyFont="1" applyBorder="1" applyAlignment="1">
      <alignment horizontal="left"/>
    </xf>
    <xf numFmtId="10" fontId="8" fillId="0" borderId="0" xfId="2" applyNumberFormat="1" applyFont="1" applyAlignment="1">
      <alignment horizontal="left"/>
    </xf>
    <xf numFmtId="164" fontId="8" fillId="0" borderId="0" xfId="0" applyNumberFormat="1" applyFont="1" applyBorder="1" applyAlignment="1">
      <alignment horizontal="left"/>
    </xf>
    <xf numFmtId="165" fontId="8" fillId="0" borderId="0" xfId="2" applyNumberFormat="1" applyFont="1" applyAlignment="1">
      <alignment horizontal="left"/>
    </xf>
    <xf numFmtId="0" fontId="59" fillId="0" borderId="0" xfId="0" applyNumberFormat="1" applyFont="1" applyAlignment="1">
      <alignment horizontal="left"/>
    </xf>
    <xf numFmtId="166" fontId="0" fillId="0" borderId="12" xfId="0" applyFill="1" applyBorder="1" applyAlignment="1">
      <alignment horizontal="left"/>
    </xf>
    <xf numFmtId="2" fontId="8" fillId="13" borderId="15" xfId="0" applyNumberFormat="1" applyFont="1" applyFill="1" applyBorder="1" applyAlignment="1">
      <alignment horizontal="left" vertical="top"/>
    </xf>
    <xf numFmtId="166" fontId="8" fillId="0" borderId="0" xfId="0" applyNumberFormat="1" applyFont="1" applyFill="1" applyBorder="1" applyAlignment="1"/>
    <xf numFmtId="166" fontId="86" fillId="0" borderId="0" xfId="0" applyFont="1" applyFill="1" applyBorder="1" applyAlignment="1">
      <alignment horizontal="justify"/>
    </xf>
    <xf numFmtId="166" fontId="85" fillId="0" borderId="0" xfId="0" applyFont="1" applyFill="1" applyBorder="1" applyAlignment="1">
      <alignment horizontal="justify"/>
    </xf>
    <xf numFmtId="166" fontId="85" fillId="0" borderId="0" xfId="0" applyFont="1" applyFill="1" applyBorder="1" applyAlignment="1">
      <alignment horizontal="left"/>
    </xf>
    <xf numFmtId="166" fontId="86" fillId="0" borderId="0" xfId="0" applyFont="1" applyFill="1" applyBorder="1" applyAlignment="1">
      <alignment horizontal="left"/>
    </xf>
    <xf numFmtId="166" fontId="85" fillId="0" borderId="0" xfId="0" applyFont="1" applyFill="1" applyBorder="1" applyAlignment="1">
      <alignment horizontal="left" indent="1"/>
    </xf>
    <xf numFmtId="165" fontId="8" fillId="13" borderId="35" xfId="2" applyNumberFormat="1" applyFont="1" applyFill="1" applyBorder="1" applyAlignment="1">
      <alignment horizontal="left" vertical="top"/>
    </xf>
    <xf numFmtId="165" fontId="22" fillId="0" borderId="6" xfId="2" applyNumberFormat="1" applyFont="1" applyFill="1" applyBorder="1" applyAlignment="1">
      <alignment horizontal="left" vertical="top"/>
    </xf>
    <xf numFmtId="0" fontId="8" fillId="0" borderId="0" xfId="0" applyNumberFormat="1" applyFont="1" applyFill="1" applyAlignment="1">
      <alignment vertical="top"/>
    </xf>
    <xf numFmtId="0" fontId="8" fillId="0" borderId="0" xfId="0" applyNumberFormat="1" applyFont="1" applyFill="1" applyBorder="1" applyAlignment="1"/>
    <xf numFmtId="0" fontId="87" fillId="0" borderId="0" xfId="2" applyNumberFormat="1" applyFont="1" applyFill="1" applyBorder="1" applyAlignment="1">
      <alignment horizontal="left" vertical="top"/>
    </xf>
    <xf numFmtId="0" fontId="87" fillId="0" borderId="0" xfId="2" quotePrefix="1" applyNumberFormat="1" applyFont="1" applyFill="1" applyBorder="1" applyAlignment="1">
      <alignment horizontal="left" vertical="top"/>
    </xf>
    <xf numFmtId="0" fontId="88" fillId="0" borderId="0" xfId="2" quotePrefix="1" applyNumberFormat="1" applyFont="1" applyFill="1" applyBorder="1" applyAlignment="1">
      <alignment horizontal="left" vertical="top"/>
    </xf>
    <xf numFmtId="0" fontId="87" fillId="0" borderId="0" xfId="0" applyNumberFormat="1" applyFont="1" applyFill="1" applyBorder="1" applyAlignment="1">
      <alignment horizontal="right" vertical="top"/>
    </xf>
    <xf numFmtId="0" fontId="87" fillId="0" borderId="0" xfId="0" applyNumberFormat="1" applyFont="1" applyFill="1" applyBorder="1" applyAlignment="1">
      <alignment horizontal="left" vertical="top"/>
    </xf>
    <xf numFmtId="0" fontId="87" fillId="0" borderId="0" xfId="0" applyNumberFormat="1" applyFont="1" applyBorder="1" applyAlignment="1">
      <alignment vertical="top"/>
    </xf>
    <xf numFmtId="165" fontId="0" fillId="0" borderId="0" xfId="0" applyNumberFormat="1" applyFill="1" applyBorder="1" applyAlignment="1">
      <alignment horizontal="left"/>
    </xf>
    <xf numFmtId="10" fontId="0" fillId="0" borderId="0" xfId="0" applyNumberFormat="1" applyFill="1" applyBorder="1" applyAlignment="1">
      <alignment horizontal="left"/>
    </xf>
    <xf numFmtId="166" fontId="0" fillId="14" borderId="0" xfId="0" applyFill="1"/>
    <xf numFmtId="166" fontId="8" fillId="14" borderId="0" xfId="0" applyFont="1" applyFill="1"/>
    <xf numFmtId="165" fontId="9" fillId="9" borderId="10" xfId="0" applyNumberFormat="1" applyFont="1" applyFill="1" applyBorder="1" applyAlignment="1">
      <alignment horizontal="left"/>
    </xf>
    <xf numFmtId="166" fontId="9" fillId="14" borderId="0" xfId="0" applyFont="1" applyFill="1"/>
    <xf numFmtId="10" fontId="27" fillId="11" borderId="10" xfId="0" applyNumberFormat="1" applyFont="1" applyFill="1" applyBorder="1" applyAlignment="1">
      <alignment horizontal="left"/>
    </xf>
    <xf numFmtId="10" fontId="9" fillId="0" borderId="10" xfId="0" applyNumberFormat="1" applyFont="1" applyFill="1" applyBorder="1" applyAlignment="1">
      <alignment horizontal="left"/>
    </xf>
    <xf numFmtId="166" fontId="50" fillId="0" borderId="12" xfId="1" applyNumberFormat="1" applyFont="1" applyFill="1" applyBorder="1" applyAlignment="1" applyProtection="1">
      <alignment horizontal="right"/>
    </xf>
    <xf numFmtId="10" fontId="8" fillId="0" borderId="0" xfId="2" applyNumberFormat="1" applyFont="1" applyFill="1" applyBorder="1" applyAlignment="1">
      <alignment horizontal="left"/>
    </xf>
    <xf numFmtId="166" fontId="8" fillId="9" borderId="51" xfId="0" quotePrefix="1" applyFont="1" applyFill="1" applyBorder="1" applyAlignment="1">
      <alignment horizontal="left" indent="1"/>
    </xf>
    <xf numFmtId="166" fontId="0" fillId="9" borderId="0" xfId="0" applyFill="1" applyAlignment="1">
      <alignment horizontal="left"/>
    </xf>
    <xf numFmtId="2" fontId="0" fillId="0" borderId="0" xfId="0" applyNumberFormat="1" applyAlignment="1">
      <alignment horizontal="left"/>
    </xf>
    <xf numFmtId="0" fontId="2" fillId="0" borderId="0" xfId="0" applyNumberFormat="1" applyFont="1" applyBorder="1" applyAlignment="1">
      <alignment horizontal="left"/>
    </xf>
    <xf numFmtId="0" fontId="5" fillId="0" borderId="0" xfId="0" applyNumberFormat="1" applyFont="1" applyBorder="1" applyAlignment="1">
      <alignment horizontal="left"/>
    </xf>
    <xf numFmtId="0" fontId="8" fillId="0" borderId="57" xfId="0" applyNumberFormat="1" applyFont="1" applyFill="1" applyBorder="1" applyAlignment="1">
      <alignment horizontal="left"/>
    </xf>
    <xf numFmtId="165" fontId="9" fillId="0" borderId="57" xfId="0" applyNumberFormat="1" applyFont="1" applyFill="1" applyBorder="1" applyAlignment="1">
      <alignment horizontal="left"/>
    </xf>
    <xf numFmtId="165" fontId="8" fillId="0" borderId="57" xfId="0" applyNumberFormat="1" applyFont="1" applyFill="1" applyBorder="1" applyAlignment="1">
      <alignment horizontal="left"/>
    </xf>
    <xf numFmtId="0" fontId="8" fillId="0" borderId="0" xfId="0" applyNumberFormat="1" applyFont="1" applyFill="1" applyAlignment="1"/>
    <xf numFmtId="166" fontId="8" fillId="0" borderId="0" xfId="0" applyFont="1" applyFill="1" applyAlignment="1">
      <alignment horizontal="left" wrapText="1"/>
    </xf>
    <xf numFmtId="0" fontId="63" fillId="12" borderId="0" xfId="0" applyNumberFormat="1" applyFont="1" applyFill="1" applyAlignment="1"/>
    <xf numFmtId="0" fontId="63" fillId="0" borderId="0" xfId="0" applyNumberFormat="1" applyFont="1" applyFill="1" applyAlignment="1"/>
    <xf numFmtId="0" fontId="63" fillId="9" borderId="0" xfId="0" applyNumberFormat="1" applyFont="1" applyFill="1" applyAlignment="1"/>
    <xf numFmtId="166" fontId="14" fillId="0" borderId="0" xfId="0" applyFont="1" applyFill="1" applyAlignment="1"/>
    <xf numFmtId="166" fontId="22" fillId="0" borderId="0" xfId="0" applyFont="1" applyFill="1" applyAlignment="1"/>
    <xf numFmtId="166" fontId="0" fillId="12" borderId="0" xfId="0" applyFill="1" applyAlignment="1"/>
    <xf numFmtId="165" fontId="40" fillId="0" borderId="13" xfId="2" applyNumberFormat="1" applyFont="1" applyFill="1" applyBorder="1" applyAlignment="1">
      <alignment horizontal="left" vertical="top"/>
    </xf>
    <xf numFmtId="165" fontId="39" fillId="0" borderId="12" xfId="0" applyNumberFormat="1" applyFont="1" applyFill="1" applyBorder="1" applyAlignment="1">
      <alignment horizontal="left" vertical="top"/>
    </xf>
    <xf numFmtId="165" fontId="40" fillId="0" borderId="12" xfId="0" applyNumberFormat="1" applyFont="1" applyFill="1" applyBorder="1" applyAlignment="1">
      <alignment horizontal="left" vertical="top"/>
    </xf>
    <xf numFmtId="165" fontId="8" fillId="16" borderId="12" xfId="0" applyNumberFormat="1" applyFont="1" applyFill="1" applyBorder="1" applyAlignment="1">
      <alignment horizontal="left" vertical="top"/>
    </xf>
    <xf numFmtId="165" fontId="40" fillId="0" borderId="14" xfId="0" applyNumberFormat="1" applyFont="1" applyFill="1" applyBorder="1" applyAlignment="1">
      <alignment horizontal="left" vertical="top"/>
    </xf>
    <xf numFmtId="165" fontId="39" fillId="0" borderId="4" xfId="0" applyNumberFormat="1" applyFont="1" applyFill="1" applyBorder="1" applyAlignment="1">
      <alignment horizontal="left" vertical="top"/>
    </xf>
    <xf numFmtId="165" fontId="39" fillId="0" borderId="0" xfId="0" applyNumberFormat="1" applyFont="1" applyFill="1" applyBorder="1" applyAlignment="1">
      <alignment horizontal="left" vertical="top"/>
    </xf>
    <xf numFmtId="165" fontId="33" fillId="16" borderId="0" xfId="0" applyNumberFormat="1" applyFont="1" applyFill="1" applyBorder="1" applyAlignment="1">
      <alignment horizontal="left" vertical="top"/>
    </xf>
    <xf numFmtId="165" fontId="39" fillId="0" borderId="5" xfId="0" applyNumberFormat="1" applyFont="1" applyFill="1" applyBorder="1" applyAlignment="1">
      <alignment horizontal="left" vertical="top"/>
    </xf>
    <xf numFmtId="165" fontId="40" fillId="0" borderId="4" xfId="0" applyNumberFormat="1" applyFont="1" applyFill="1" applyBorder="1" applyAlignment="1">
      <alignment horizontal="left" vertical="top"/>
    </xf>
    <xf numFmtId="165" fontId="40" fillId="0" borderId="0" xfId="0" applyNumberFormat="1" applyFont="1" applyFill="1" applyBorder="1" applyAlignment="1">
      <alignment horizontal="left" vertical="top"/>
    </xf>
    <xf numFmtId="165" fontId="8" fillId="16" borderId="0" xfId="0" applyNumberFormat="1" applyFont="1" applyFill="1" applyBorder="1" applyAlignment="1">
      <alignment horizontal="left" vertical="top"/>
    </xf>
    <xf numFmtId="165" fontId="40" fillId="0" borderId="5" xfId="0" applyNumberFormat="1" applyFont="1" applyFill="1" applyBorder="1" applyAlignment="1">
      <alignment horizontal="left" vertical="top"/>
    </xf>
    <xf numFmtId="165" fontId="41" fillId="0" borderId="4" xfId="0" applyNumberFormat="1" applyFont="1" applyFill="1" applyBorder="1" applyAlignment="1">
      <alignment horizontal="left" vertical="top"/>
    </xf>
    <xf numFmtId="165" fontId="41" fillId="16" borderId="0" xfId="0" applyNumberFormat="1" applyFont="1" applyFill="1" applyBorder="1" applyAlignment="1">
      <alignment horizontal="left" vertical="top"/>
    </xf>
    <xf numFmtId="165" fontId="41" fillId="0" borderId="6" xfId="0" applyNumberFormat="1" applyFont="1" applyFill="1" applyBorder="1" applyAlignment="1">
      <alignment horizontal="left" vertical="top"/>
    </xf>
    <xf numFmtId="165" fontId="39" fillId="0" borderId="7" xfId="0" applyNumberFormat="1" applyFont="1" applyFill="1" applyBorder="1" applyAlignment="1">
      <alignment horizontal="left" vertical="top"/>
    </xf>
    <xf numFmtId="165" fontId="41" fillId="0" borderId="7" xfId="0" applyNumberFormat="1" applyFont="1" applyFill="1" applyBorder="1" applyAlignment="1">
      <alignment horizontal="left" vertical="top"/>
    </xf>
    <xf numFmtId="165" fontId="41" fillId="16" borderId="7" xfId="0" applyNumberFormat="1" applyFont="1" applyFill="1" applyBorder="1" applyAlignment="1">
      <alignment horizontal="left" vertical="top"/>
    </xf>
    <xf numFmtId="165" fontId="40" fillId="0" borderId="8" xfId="0" applyNumberFormat="1" applyFont="1" applyFill="1" applyBorder="1" applyAlignment="1">
      <alignment horizontal="left" vertical="top"/>
    </xf>
    <xf numFmtId="9" fontId="22" fillId="0" borderId="33" xfId="0" applyNumberFormat="1" applyFont="1" applyFill="1" applyBorder="1" applyAlignment="1">
      <alignment horizontal="left"/>
    </xf>
    <xf numFmtId="9" fontId="22" fillId="0" borderId="16" xfId="0" applyNumberFormat="1" applyFont="1" applyFill="1" applyBorder="1" applyAlignment="1">
      <alignment horizontal="left"/>
    </xf>
    <xf numFmtId="9" fontId="78" fillId="8" borderId="16" xfId="0" applyNumberFormat="1" applyFont="1" applyFill="1" applyBorder="1" applyAlignment="1">
      <alignment horizontal="left"/>
    </xf>
    <xf numFmtId="9" fontId="22" fillId="0" borderId="22" xfId="0" applyNumberFormat="1" applyFont="1" applyFill="1" applyBorder="1" applyAlignment="1">
      <alignment horizontal="left"/>
    </xf>
    <xf numFmtId="9" fontId="22" fillId="0" borderId="0" xfId="0" applyNumberFormat="1" applyFont="1" applyFill="1" applyBorder="1" applyAlignment="1">
      <alignment horizontal="left"/>
    </xf>
    <xf numFmtId="9" fontId="78" fillId="8" borderId="0" xfId="0" applyNumberFormat="1" applyFont="1" applyFill="1" applyBorder="1" applyAlignment="1">
      <alignment horizontal="left"/>
    </xf>
    <xf numFmtId="9" fontId="22" fillId="0" borderId="0" xfId="0" applyNumberFormat="1" applyFont="1" applyFill="1" applyBorder="1" applyAlignment="1">
      <alignment horizontal="left" vertical="top"/>
    </xf>
    <xf numFmtId="9" fontId="22" fillId="0" borderId="59" xfId="0" applyNumberFormat="1" applyFont="1" applyFill="1" applyBorder="1" applyAlignment="1">
      <alignment horizontal="left"/>
    </xf>
    <xf numFmtId="9" fontId="22" fillId="0" borderId="28" xfId="0" applyNumberFormat="1" applyFont="1" applyFill="1" applyBorder="1" applyAlignment="1">
      <alignment horizontal="left"/>
    </xf>
    <xf numFmtId="9" fontId="78" fillId="8" borderId="28" xfId="0" applyNumberFormat="1" applyFont="1" applyFill="1" applyBorder="1" applyAlignment="1">
      <alignment horizontal="left"/>
    </xf>
    <xf numFmtId="9" fontId="22" fillId="0" borderId="28" xfId="0" applyNumberFormat="1" applyFont="1" applyFill="1" applyBorder="1" applyAlignment="1">
      <alignment horizontal="left" vertical="top"/>
    </xf>
    <xf numFmtId="9" fontId="22" fillId="0" borderId="62" xfId="0" applyNumberFormat="1" applyFont="1" applyFill="1" applyBorder="1" applyAlignment="1">
      <alignment horizontal="left" vertical="top"/>
    </xf>
    <xf numFmtId="9" fontId="22" fillId="0" borderId="34" xfId="0" applyNumberFormat="1" applyFont="1" applyFill="1" applyBorder="1" applyAlignment="1">
      <alignment horizontal="left"/>
    </xf>
    <xf numFmtId="9" fontId="22" fillId="0" borderId="5" xfId="0" applyNumberFormat="1" applyFont="1" applyFill="1" applyBorder="1" applyAlignment="1">
      <alignment horizontal="left"/>
    </xf>
    <xf numFmtId="9" fontId="22" fillId="0" borderId="5" xfId="0" applyNumberFormat="1" applyFont="1" applyFill="1" applyBorder="1" applyAlignment="1">
      <alignment horizontal="left" vertical="top"/>
    </xf>
    <xf numFmtId="165" fontId="9" fillId="0" borderId="57" xfId="0" applyNumberFormat="1" applyFont="1" applyFill="1" applyBorder="1" applyAlignment="1">
      <alignment horizontal="left" indent="1"/>
    </xf>
    <xf numFmtId="165" fontId="8" fillId="0" borderId="10" xfId="0" applyNumberFormat="1" applyFont="1" applyFill="1" applyBorder="1" applyAlignment="1">
      <alignment horizontal="left" indent="1"/>
    </xf>
    <xf numFmtId="166" fontId="59" fillId="2" borderId="0" xfId="0" applyFont="1" applyFill="1"/>
    <xf numFmtId="0" fontId="8" fillId="0" borderId="12" xfId="0" applyNumberFormat="1" applyFont="1" applyFill="1" applyBorder="1" applyAlignment="1">
      <alignment wrapText="1"/>
    </xf>
    <xf numFmtId="0" fontId="8" fillId="0" borderId="0" xfId="0" applyNumberFormat="1" applyFont="1" applyFill="1" applyAlignment="1">
      <alignment wrapText="1"/>
    </xf>
    <xf numFmtId="0" fontId="8" fillId="0" borderId="0" xfId="0" applyNumberFormat="1" applyFont="1" applyFill="1" applyAlignment="1">
      <alignment vertical="top" wrapText="1"/>
    </xf>
    <xf numFmtId="0" fontId="8" fillId="0" borderId="0" xfId="0" applyNumberFormat="1" applyFont="1" applyFill="1" applyBorder="1" applyAlignment="1">
      <alignment wrapText="1"/>
    </xf>
    <xf numFmtId="166" fontId="8" fillId="9" borderId="9" xfId="0" applyFont="1" applyFill="1" applyBorder="1" applyAlignment="1">
      <alignment horizontal="left" vertical="top"/>
    </xf>
    <xf numFmtId="166" fontId="8" fillId="9" borderId="10" xfId="0" applyFont="1" applyFill="1" applyBorder="1" applyAlignment="1">
      <alignment horizontal="left" vertical="top"/>
    </xf>
    <xf numFmtId="166" fontId="8" fillId="0" borderId="4" xfId="0" applyFont="1" applyFill="1" applyBorder="1" applyAlignment="1">
      <alignment horizontal="left" vertical="top" indent="1"/>
    </xf>
    <xf numFmtId="166" fontId="8" fillId="0" borderId="0" xfId="0" applyFont="1" applyFill="1" applyBorder="1" applyAlignment="1">
      <alignment horizontal="left" vertical="top" indent="1"/>
    </xf>
    <xf numFmtId="0" fontId="21" fillId="0" borderId="13" xfId="0" applyNumberFormat="1" applyFont="1" applyFill="1" applyBorder="1" applyAlignment="1">
      <alignment horizontal="left" vertical="top" indent="1"/>
    </xf>
    <xf numFmtId="0" fontId="21" fillId="0" borderId="12" xfId="0" applyNumberFormat="1" applyFont="1" applyFill="1" applyBorder="1" applyAlignment="1">
      <alignment horizontal="left" vertical="top" indent="1"/>
    </xf>
    <xf numFmtId="0" fontId="8" fillId="0" borderId="4" xfId="0" applyNumberFormat="1" applyFont="1" applyFill="1" applyBorder="1" applyAlignment="1">
      <alignment horizontal="left" vertical="top"/>
    </xf>
    <xf numFmtId="0" fontId="8" fillId="0" borderId="0" xfId="0" applyNumberFormat="1" applyFont="1" applyFill="1" applyBorder="1" applyAlignment="1">
      <alignment horizontal="left" vertical="top"/>
    </xf>
    <xf numFmtId="0" fontId="30" fillId="0" borderId="4" xfId="0" applyNumberFormat="1" applyFont="1" applyFill="1" applyBorder="1" applyAlignment="1">
      <alignment horizontal="left" vertical="top" indent="1"/>
    </xf>
    <xf numFmtId="0" fontId="30" fillId="0" borderId="0" xfId="0" applyNumberFormat="1" applyFont="1" applyFill="1" applyBorder="1" applyAlignment="1">
      <alignment horizontal="left" vertical="top" indent="1"/>
    </xf>
    <xf numFmtId="166" fontId="8" fillId="0" borderId="4" xfId="0" applyFont="1" applyFill="1" applyBorder="1" applyAlignment="1">
      <alignment horizontal="left" vertical="top"/>
    </xf>
    <xf numFmtId="166" fontId="8" fillId="0" borderId="0" xfId="0" applyFont="1" applyFill="1" applyBorder="1" applyAlignment="1">
      <alignment horizontal="left" vertical="top"/>
    </xf>
    <xf numFmtId="166" fontId="8" fillId="0" borderId="13" xfId="0" applyFont="1" applyFill="1" applyBorder="1" applyAlignment="1">
      <alignment horizontal="left" vertical="top" indent="1"/>
    </xf>
    <xf numFmtId="166" fontId="8" fillId="0" borderId="12" xfId="0" applyFont="1" applyFill="1" applyBorder="1" applyAlignment="1">
      <alignment horizontal="left" vertical="top" indent="1"/>
    </xf>
    <xf numFmtId="166" fontId="27" fillId="12" borderId="10" xfId="0" applyFont="1" applyFill="1" applyBorder="1" applyAlignment="1">
      <alignment horizontal="center" vertical="top"/>
    </xf>
    <xf numFmtId="10" fontId="27" fillId="11" borderId="9" xfId="0" applyNumberFormat="1" applyFont="1" applyFill="1" applyBorder="1" applyAlignment="1">
      <alignment horizontal="left" vertical="top"/>
    </xf>
    <xf numFmtId="10" fontId="27" fillId="11" borderId="10" xfId="0" applyNumberFormat="1" applyFont="1" applyFill="1" applyBorder="1" applyAlignment="1">
      <alignment horizontal="left" vertical="top"/>
    </xf>
    <xf numFmtId="166" fontId="20" fillId="0" borderId="0" xfId="0" applyFont="1" applyBorder="1" applyAlignment="1">
      <alignment vertical="top" wrapText="1"/>
    </xf>
    <xf numFmtId="0" fontId="22" fillId="0" borderId="0" xfId="0" applyNumberFormat="1" applyFont="1" applyBorder="1" applyAlignment="1">
      <alignment vertical="top" wrapText="1"/>
    </xf>
    <xf numFmtId="9" fontId="8" fillId="0" borderId="13" xfId="2" applyFont="1" applyFill="1" applyBorder="1" applyAlignment="1">
      <alignment horizontal="center" vertical="top"/>
    </xf>
    <xf numFmtId="9" fontId="8" fillId="0" borderId="12" xfId="2" applyFont="1" applyFill="1" applyBorder="1" applyAlignment="1">
      <alignment horizontal="center" vertical="top"/>
    </xf>
    <xf numFmtId="9" fontId="8" fillId="0" borderId="14" xfId="2" applyFont="1" applyFill="1" applyBorder="1" applyAlignment="1">
      <alignment horizontal="center" vertical="top"/>
    </xf>
    <xf numFmtId="0" fontId="8" fillId="0" borderId="0" xfId="0" applyNumberFormat="1" applyFont="1" applyFill="1" applyBorder="1" applyAlignment="1">
      <alignment vertical="top" wrapText="1"/>
    </xf>
    <xf numFmtId="0" fontId="8" fillId="0" borderId="4" xfId="0" applyNumberFormat="1" applyFont="1" applyBorder="1" applyAlignment="1">
      <alignment vertical="top" wrapText="1"/>
    </xf>
    <xf numFmtId="0" fontId="8" fillId="0" borderId="0" xfId="0" applyNumberFormat="1" applyFont="1" applyBorder="1" applyAlignment="1">
      <alignment vertical="top" wrapText="1"/>
    </xf>
    <xf numFmtId="0" fontId="8" fillId="0" borderId="52" xfId="0" applyNumberFormat="1" applyFont="1" applyBorder="1" applyAlignment="1">
      <alignment vertical="top" wrapText="1"/>
    </xf>
    <xf numFmtId="0" fontId="8" fillId="0" borderId="45" xfId="0" applyNumberFormat="1" applyFont="1" applyBorder="1" applyAlignment="1">
      <alignment vertical="top" wrapText="1"/>
    </xf>
    <xf numFmtId="0" fontId="8" fillId="0" borderId="46" xfId="0" applyNumberFormat="1" applyFont="1" applyBorder="1" applyAlignment="1">
      <alignment vertical="top" wrapText="1"/>
    </xf>
    <xf numFmtId="0" fontId="8" fillId="0" borderId="54" xfId="0" applyNumberFormat="1" applyFont="1" applyBorder="1" applyAlignment="1">
      <alignment vertical="top" wrapText="1"/>
    </xf>
    <xf numFmtId="10" fontId="8" fillId="0" borderId="4" xfId="0" applyNumberFormat="1" applyFont="1" applyFill="1" applyBorder="1" applyAlignment="1">
      <alignment horizontal="center" vertical="top"/>
    </xf>
    <xf numFmtId="10" fontId="8" fillId="0" borderId="0" xfId="0" applyNumberFormat="1" applyFont="1" applyFill="1" applyBorder="1" applyAlignment="1">
      <alignment horizontal="center" vertical="top"/>
    </xf>
    <xf numFmtId="10" fontId="8" fillId="0" borderId="5" xfId="0" applyNumberFormat="1" applyFont="1" applyFill="1" applyBorder="1" applyAlignment="1">
      <alignment horizontal="center" vertical="top"/>
    </xf>
    <xf numFmtId="166" fontId="8" fillId="0" borderId="4" xfId="0" applyFont="1" applyBorder="1" applyAlignment="1">
      <alignment horizontal="left" vertical="top" wrapText="1"/>
    </xf>
    <xf numFmtId="166" fontId="8" fillId="0" borderId="0" xfId="0" applyFont="1" applyBorder="1" applyAlignment="1">
      <alignment horizontal="left" vertical="top" wrapText="1"/>
    </xf>
    <xf numFmtId="166" fontId="8" fillId="0" borderId="52" xfId="0" applyFont="1" applyBorder="1" applyAlignment="1">
      <alignment horizontal="left" vertical="top" wrapText="1"/>
    </xf>
    <xf numFmtId="166" fontId="8" fillId="0" borderId="0" xfId="0" applyFont="1" applyBorder="1" applyAlignment="1">
      <alignment vertical="top" wrapText="1"/>
    </xf>
    <xf numFmtId="166" fontId="8" fillId="0" borderId="52" xfId="0" applyFont="1" applyBorder="1" applyAlignment="1">
      <alignment vertical="top" wrapText="1"/>
    </xf>
    <xf numFmtId="10" fontId="9" fillId="2" borderId="9" xfId="0" applyNumberFormat="1" applyFont="1" applyFill="1" applyBorder="1" applyAlignment="1">
      <alignment horizontal="left" vertical="top"/>
    </xf>
    <xf numFmtId="10" fontId="9" fillId="2" borderId="10" xfId="0" applyNumberFormat="1" applyFont="1" applyFill="1" applyBorder="1" applyAlignment="1">
      <alignment horizontal="left" vertical="top"/>
    </xf>
    <xf numFmtId="166" fontId="9" fillId="2" borderId="10" xfId="0" applyFont="1" applyFill="1" applyBorder="1" applyAlignment="1">
      <alignment horizontal="center" vertical="top"/>
    </xf>
    <xf numFmtId="166" fontId="0" fillId="0" borderId="12" xfId="0" applyBorder="1"/>
    <xf numFmtId="166" fontId="0" fillId="0" borderId="14" xfId="0" applyBorder="1"/>
    <xf numFmtId="166" fontId="1" fillId="0" borderId="12" xfId="3" applyFont="1" applyBorder="1" applyAlignment="1">
      <alignment horizontal="left" vertical="top"/>
    </xf>
    <xf numFmtId="0" fontId="0" fillId="0" borderId="12" xfId="0" applyNumberFormat="1" applyBorder="1" applyAlignment="1"/>
    <xf numFmtId="166" fontId="0" fillId="0" borderId="4" xfId="0" applyBorder="1" applyAlignment="1"/>
    <xf numFmtId="166" fontId="8" fillId="0" borderId="4" xfId="0" applyNumberFormat="1" applyFont="1" applyFill="1" applyBorder="1" applyAlignment="1"/>
    <xf numFmtId="0" fontId="0" fillId="0" borderId="4" xfId="0" applyNumberFormat="1" applyBorder="1" applyAlignment="1"/>
    <xf numFmtId="0" fontId="0" fillId="0" borderId="13" xfId="0" applyNumberFormat="1" applyBorder="1" applyAlignment="1"/>
    <xf numFmtId="166" fontId="0" fillId="0" borderId="12" xfId="0" applyBorder="1" applyAlignment="1">
      <alignment horizontal="left"/>
    </xf>
    <xf numFmtId="166" fontId="0" fillId="0" borderId="4" xfId="0" applyBorder="1" applyAlignment="1">
      <alignment horizontal="left"/>
    </xf>
    <xf numFmtId="166" fontId="9" fillId="0" borderId="4" xfId="0" applyFont="1" applyBorder="1" applyAlignment="1">
      <alignment horizontal="left"/>
    </xf>
    <xf numFmtId="166" fontId="0" fillId="0" borderId="13" xfId="0" applyBorder="1" applyAlignment="1">
      <alignment horizontal="left"/>
    </xf>
    <xf numFmtId="2" fontId="0" fillId="0" borderId="12" xfId="0" applyNumberFormat="1" applyBorder="1" applyAlignment="1">
      <alignment horizontal="left"/>
    </xf>
    <xf numFmtId="2" fontId="0" fillId="0" borderId="4" xfId="0" applyNumberFormat="1" applyBorder="1" applyAlignment="1">
      <alignment horizontal="left"/>
    </xf>
    <xf numFmtId="2" fontId="0" fillId="0" borderId="13" xfId="0" applyNumberFormat="1" applyBorder="1" applyAlignment="1">
      <alignment horizontal="left"/>
    </xf>
  </cellXfs>
  <cellStyles count="16">
    <cellStyle name="%" xfId="8"/>
    <cellStyle name="Lien hypertexte" xfId="1" builtinId="8"/>
    <cellStyle name="Lien hypertexte 2" xfId="7"/>
    <cellStyle name="Milliers 2" xfId="9"/>
    <cellStyle name="Normal" xfId="0" builtinId="0"/>
    <cellStyle name="Normal 10 2" xfId="5"/>
    <cellStyle name="Normal 2" xfId="10"/>
    <cellStyle name="Normal 3" xfId="3"/>
    <cellStyle name="Normal 4" xfId="6"/>
    <cellStyle name="Pourcentage" xfId="2" builtinId="5"/>
    <cellStyle name="Pourcentage 2" xfId="11"/>
    <cellStyle name="Standard_CO_Datasheet_Umbau" xfId="12"/>
    <cellStyle name="Style 1" xfId="4"/>
    <cellStyle name="Table - Number" xfId="13"/>
    <cellStyle name="Table - Text" xfId="14"/>
    <cellStyle name="Table - Text Bold" xfId="15"/>
  </cellStyles>
  <dxfs count="0"/>
  <tableStyles count="0" defaultTableStyle="TableStyleMedium9" defaultPivotStyle="PivotStyleLight16"/>
  <colors>
    <mruColors>
      <color rgb="FFFFDC6D"/>
      <color rgb="FFFFD03B"/>
      <color rgb="FFFFC000"/>
      <color rgb="FFFFFF00"/>
      <color rgb="FFFFFF66"/>
      <color rgb="FFFFFF99"/>
      <color rgb="FFFFFFCC"/>
      <color rgb="FFFF4747"/>
      <color rgb="FFFF0D0D"/>
      <color rgb="FFFF7575"/>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5.6119089639657095E-2"/>
          <c:y val="7.3991057515997868E-2"/>
          <c:w val="0.87920270742019402"/>
          <c:h val="0.78450647382030059"/>
        </c:manualLayout>
      </c:layout>
      <c:barChart>
        <c:barDir val="bar"/>
        <c:grouping val="stacked"/>
        <c:ser>
          <c:idx val="0"/>
          <c:order val="0"/>
          <c:tx>
            <c:strRef>
              <c:f>'WACC BIPT &amp; Cullen 2013'!$AQ$67</c:f>
              <c:strCache>
                <c:ptCount val="1"/>
                <c:pt idx="0">
                  <c:v>Low</c:v>
                </c:pt>
              </c:strCache>
            </c:strRef>
          </c:tx>
          <c:spPr>
            <a:noFill/>
          </c:spPr>
          <c:val>
            <c:numRef>
              <c:f>'WACC BIPT &amp; Cullen 2013'!$AR$67:$AU$67</c:f>
              <c:numCache>
                <c:formatCode>0.0%</c:formatCode>
                <c:ptCount val="4"/>
                <c:pt idx="0">
                  <c:v>5.3999999999999999E-2</c:v>
                </c:pt>
                <c:pt idx="1">
                  <c:v>6.2899999999999998E-2</c:v>
                </c:pt>
                <c:pt idx="2">
                  <c:v>7.6999999999999999E-2</c:v>
                </c:pt>
                <c:pt idx="3">
                  <c:v>9.69E-2</c:v>
                </c:pt>
              </c:numCache>
            </c:numRef>
          </c:val>
        </c:ser>
        <c:ser>
          <c:idx val="1"/>
          <c:order val="1"/>
          <c:tx>
            <c:strRef>
              <c:f>'WACC BIPT &amp; Cullen 2013'!$AQ$68</c:f>
              <c:strCache>
                <c:ptCount val="1"/>
                <c:pt idx="0">
                  <c:v>2013</c:v>
                </c:pt>
              </c:strCache>
            </c:strRef>
          </c:tx>
          <c:spPr>
            <a:solidFill>
              <a:schemeClr val="bg2">
                <a:lumMod val="90000"/>
              </a:schemeClr>
            </a:solidFill>
          </c:spPr>
          <c:val>
            <c:numRef>
              <c:f>'WACC BIPT &amp; Cullen 2013'!$AR$68:$AU$68</c:f>
              <c:numCache>
                <c:formatCode>0.0%</c:formatCode>
                <c:ptCount val="4"/>
                <c:pt idx="0">
                  <c:v>2.7555337818754862E-2</c:v>
                </c:pt>
                <c:pt idx="1">
                  <c:v>2.4934696185358124E-2</c:v>
                </c:pt>
                <c:pt idx="2">
                  <c:v>2.1924829571277074E-2</c:v>
                </c:pt>
                <c:pt idx="3">
                  <c:v>6.0410316618694088E-3</c:v>
                </c:pt>
              </c:numCache>
            </c:numRef>
          </c:val>
        </c:ser>
        <c:ser>
          <c:idx val="2"/>
          <c:order val="2"/>
          <c:tx>
            <c:strRef>
              <c:f>'WACC BIPT &amp; Cullen 2013'!$AQ$69</c:f>
              <c:strCache>
                <c:ptCount val="1"/>
                <c:pt idx="0">
                  <c:v>Average</c:v>
                </c:pt>
              </c:strCache>
            </c:strRef>
          </c:tx>
          <c:spPr>
            <a:solidFill>
              <a:schemeClr val="bg2">
                <a:lumMod val="75000"/>
              </a:schemeClr>
            </a:solidFill>
          </c:spPr>
          <c:val>
            <c:numRef>
              <c:f>'WACC BIPT &amp; Cullen 2013'!$AR$69:$AU$69</c:f>
              <c:numCache>
                <c:formatCode>0.0%</c:formatCode>
                <c:ptCount val="4"/>
                <c:pt idx="0">
                  <c:v>6.3712140294499425E-3</c:v>
                </c:pt>
                <c:pt idx="1">
                  <c:v>8.9646632190611003E-3</c:v>
                </c:pt>
                <c:pt idx="2">
                  <c:v>2.6470454287229328E-3</c:v>
                </c:pt>
                <c:pt idx="3">
                  <c:v>1.7790912782575052E-2</c:v>
                </c:pt>
              </c:numCache>
            </c:numRef>
          </c:val>
        </c:ser>
        <c:ser>
          <c:idx val="3"/>
          <c:order val="3"/>
          <c:tx>
            <c:strRef>
              <c:f>'WACC BIPT &amp; Cullen 2013'!$AQ$70</c:f>
              <c:strCache>
                <c:ptCount val="1"/>
                <c:pt idx="0">
                  <c:v>Median</c:v>
                </c:pt>
              </c:strCache>
            </c:strRef>
          </c:tx>
          <c:spPr>
            <a:solidFill>
              <a:schemeClr val="bg2">
                <a:lumMod val="50000"/>
              </a:schemeClr>
            </a:solidFill>
          </c:spPr>
          <c:val>
            <c:numRef>
              <c:f>'WACC BIPT &amp; Cullen 2013'!$AR$70:$AU$70</c:f>
              <c:numCache>
                <c:formatCode>0.0%</c:formatCode>
                <c:ptCount val="4"/>
                <c:pt idx="0">
                  <c:v>9.0358629374337335E-3</c:v>
                </c:pt>
                <c:pt idx="1">
                  <c:v>4.1961564265154822E-3</c:v>
                </c:pt>
                <c:pt idx="2">
                  <c:v>7.5312499999999338E-4</c:v>
                </c:pt>
                <c:pt idx="3">
                  <c:v>1.680555555555463E-4</c:v>
                </c:pt>
              </c:numCache>
            </c:numRef>
          </c:val>
        </c:ser>
        <c:ser>
          <c:idx val="4"/>
          <c:order val="4"/>
          <c:tx>
            <c:strRef>
              <c:f>'WACC BIPT &amp; Cullen 2013'!$AQ$71</c:f>
              <c:strCache>
                <c:ptCount val="1"/>
                <c:pt idx="0">
                  <c:v>2010</c:v>
                </c:pt>
              </c:strCache>
            </c:strRef>
          </c:tx>
          <c:spPr>
            <a:solidFill>
              <a:schemeClr val="bg2">
                <a:lumMod val="75000"/>
              </a:schemeClr>
            </a:solidFill>
          </c:spPr>
          <c:val>
            <c:numRef>
              <c:f>'WACC BIPT &amp; Cullen 2013'!$AR$71:$AU$71</c:f>
              <c:numCache>
                <c:formatCode>0.0%</c:formatCode>
                <c:ptCount val="4"/>
                <c:pt idx="0">
                  <c:v>1.962414785638536E-3</c:v>
                </c:pt>
                <c:pt idx="1">
                  <c:v>1.9455158309347048E-3</c:v>
                </c:pt>
                <c:pt idx="2">
                  <c:v>1.2175000000000005E-2</c:v>
                </c:pt>
                <c:pt idx="3">
                  <c:v>8.3999999999999908E-3</c:v>
                </c:pt>
              </c:numCache>
            </c:numRef>
          </c:val>
        </c:ser>
        <c:ser>
          <c:idx val="5"/>
          <c:order val="5"/>
          <c:tx>
            <c:strRef>
              <c:f>'WACC BIPT &amp; Cullen 2013'!$AQ$72</c:f>
              <c:strCache>
                <c:ptCount val="1"/>
                <c:pt idx="0">
                  <c:v>High</c:v>
                </c:pt>
              </c:strCache>
            </c:strRef>
          </c:tx>
          <c:spPr>
            <a:solidFill>
              <a:schemeClr val="bg2">
                <a:lumMod val="90000"/>
              </a:schemeClr>
            </a:solidFill>
          </c:spPr>
          <c:val>
            <c:numRef>
              <c:f>'WACC BIPT &amp; Cullen 2013'!$AR$72:$AU$72</c:f>
              <c:numCache>
                <c:formatCode>0.0%</c:formatCode>
                <c:ptCount val="4"/>
                <c:pt idx="0">
                  <c:v>1.8075170428722934E-2</c:v>
                </c:pt>
                <c:pt idx="1">
                  <c:v>3.995896833813059E-2</c:v>
                </c:pt>
                <c:pt idx="2">
                  <c:v>1.7500000000000002E-2</c:v>
                </c:pt>
                <c:pt idx="3">
                  <c:v>1.8800000000000011E-2</c:v>
                </c:pt>
              </c:numCache>
            </c:numRef>
          </c:val>
        </c:ser>
        <c:gapWidth val="63"/>
        <c:overlap val="100"/>
        <c:axId val="430756608"/>
        <c:axId val="430758912"/>
      </c:barChart>
      <c:catAx>
        <c:axId val="430756608"/>
        <c:scaling>
          <c:orientation val="minMax"/>
        </c:scaling>
        <c:delete val="1"/>
        <c:axPos val="l"/>
        <c:numFmt formatCode="General" sourceLinked="1"/>
        <c:tickLblPos val="none"/>
        <c:crossAx val="430758912"/>
        <c:crosses val="autoZero"/>
        <c:auto val="1"/>
        <c:lblAlgn val="ctr"/>
        <c:lblOffset val="100"/>
      </c:catAx>
      <c:valAx>
        <c:axId val="430758912"/>
        <c:scaling>
          <c:orientation val="minMax"/>
          <c:max val="0.15000000000000024"/>
          <c:min val="0.05"/>
        </c:scaling>
        <c:axPos val="b"/>
        <c:majorGridlines>
          <c:spPr>
            <a:ln>
              <a:solidFill>
                <a:schemeClr val="bg1">
                  <a:lumMod val="50000"/>
                </a:schemeClr>
              </a:solidFill>
              <a:prstDash val="dash"/>
            </a:ln>
          </c:spPr>
        </c:majorGridlines>
        <c:numFmt formatCode="0%" sourceLinked="0"/>
        <c:tickLblPos val="nextTo"/>
        <c:spPr>
          <a:ln>
            <a:solidFill>
              <a:schemeClr val="bg1">
                <a:lumMod val="50000"/>
              </a:schemeClr>
            </a:solidFill>
          </a:ln>
        </c:spPr>
        <c:crossAx val="430756608"/>
        <c:crosses val="autoZero"/>
        <c:crossBetween val="between"/>
        <c:majorUnit val="1.0000000000000005E-2"/>
      </c:valAx>
      <c:spPr>
        <a:noFill/>
      </c:spPr>
    </c:plotArea>
    <c:plotVisOnly val="1"/>
  </c:chart>
  <c:spPr>
    <a:noFill/>
    <a:ln>
      <a:noFill/>
    </a:ln>
  </c:spPr>
  <c:txPr>
    <a:bodyPr/>
    <a:lstStyle/>
    <a:p>
      <a:pPr>
        <a:defRPr>
          <a:latin typeface="Arial" pitchFamily="34" charset="0"/>
          <a:cs typeface="Arial" pitchFamily="34" charset="0"/>
        </a:defRPr>
      </a:pPr>
      <a:endParaRPr lang="fr-FR"/>
    </a:p>
  </c:txPr>
  <c:printSettings>
    <c:headerFooter/>
    <c:pageMargins b="0.75000000000000844" l="0.70000000000000062" r="0.70000000000000062" t="0.75000000000000844"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fr-FR"/>
  <c:chart>
    <c:plotArea>
      <c:layout/>
      <c:barChart>
        <c:barDir val="bar"/>
        <c:grouping val="stacked"/>
        <c:ser>
          <c:idx val="0"/>
          <c:order val="0"/>
          <c:tx>
            <c:strRef>
              <c:f>'WACC BIPT &amp; Cullen 2013'!$AQ$67</c:f>
              <c:strCache>
                <c:ptCount val="1"/>
                <c:pt idx="0">
                  <c:v>Low</c:v>
                </c:pt>
              </c:strCache>
            </c:strRef>
          </c:tx>
          <c:spPr>
            <a:noFill/>
          </c:spPr>
          <c:val>
            <c:numRef>
              <c:f>'WACC BIPT &amp; Cullen 2013'!$AR$67:$AU$67</c:f>
              <c:numCache>
                <c:formatCode>0.0%</c:formatCode>
                <c:ptCount val="4"/>
                <c:pt idx="0">
                  <c:v>5.3999999999999999E-2</c:v>
                </c:pt>
                <c:pt idx="1">
                  <c:v>6.2899999999999998E-2</c:v>
                </c:pt>
                <c:pt idx="2">
                  <c:v>7.6999999999999999E-2</c:v>
                </c:pt>
                <c:pt idx="3">
                  <c:v>9.69E-2</c:v>
                </c:pt>
              </c:numCache>
            </c:numRef>
          </c:val>
        </c:ser>
        <c:ser>
          <c:idx val="1"/>
          <c:order val="1"/>
          <c:tx>
            <c:strRef>
              <c:f>'WACC BIPT &amp; Cullen 2013'!$AQ$68</c:f>
              <c:strCache>
                <c:ptCount val="1"/>
                <c:pt idx="0">
                  <c:v>2013</c:v>
                </c:pt>
              </c:strCache>
            </c:strRef>
          </c:tx>
          <c:spPr>
            <a:solidFill>
              <a:schemeClr val="bg2">
                <a:lumMod val="90000"/>
              </a:schemeClr>
            </a:solidFill>
          </c:spPr>
          <c:val>
            <c:numRef>
              <c:f>'WACC BIPT &amp; Cullen 2013'!$AR$68:$AU$68</c:f>
              <c:numCache>
                <c:formatCode>0.0%</c:formatCode>
                <c:ptCount val="4"/>
                <c:pt idx="0">
                  <c:v>2.7555337818754862E-2</c:v>
                </c:pt>
                <c:pt idx="1">
                  <c:v>2.4934696185358124E-2</c:v>
                </c:pt>
                <c:pt idx="2">
                  <c:v>2.1924829571277074E-2</c:v>
                </c:pt>
                <c:pt idx="3">
                  <c:v>6.0410316618694088E-3</c:v>
                </c:pt>
              </c:numCache>
            </c:numRef>
          </c:val>
        </c:ser>
        <c:ser>
          <c:idx val="2"/>
          <c:order val="2"/>
          <c:tx>
            <c:strRef>
              <c:f>'WACC BIPT &amp; Cullen 2013'!$AQ$69</c:f>
              <c:strCache>
                <c:ptCount val="1"/>
                <c:pt idx="0">
                  <c:v>Average</c:v>
                </c:pt>
              </c:strCache>
            </c:strRef>
          </c:tx>
          <c:spPr>
            <a:solidFill>
              <a:schemeClr val="bg2">
                <a:lumMod val="75000"/>
              </a:schemeClr>
            </a:solidFill>
          </c:spPr>
          <c:val>
            <c:numRef>
              <c:f>'WACC BIPT &amp; Cullen 2013'!$AR$69:$AU$69</c:f>
              <c:numCache>
                <c:formatCode>0.0%</c:formatCode>
                <c:ptCount val="4"/>
                <c:pt idx="0">
                  <c:v>6.3712140294499425E-3</c:v>
                </c:pt>
                <c:pt idx="1">
                  <c:v>8.9646632190611003E-3</c:v>
                </c:pt>
                <c:pt idx="2">
                  <c:v>2.6470454287229328E-3</c:v>
                </c:pt>
                <c:pt idx="3">
                  <c:v>1.7790912782575052E-2</c:v>
                </c:pt>
              </c:numCache>
            </c:numRef>
          </c:val>
        </c:ser>
        <c:ser>
          <c:idx val="3"/>
          <c:order val="3"/>
          <c:tx>
            <c:strRef>
              <c:f>'WACC BIPT &amp; Cullen 2013'!$AQ$70</c:f>
              <c:strCache>
                <c:ptCount val="1"/>
                <c:pt idx="0">
                  <c:v>Median</c:v>
                </c:pt>
              </c:strCache>
            </c:strRef>
          </c:tx>
          <c:spPr>
            <a:solidFill>
              <a:schemeClr val="bg2">
                <a:lumMod val="50000"/>
              </a:schemeClr>
            </a:solidFill>
          </c:spPr>
          <c:val>
            <c:numRef>
              <c:f>'WACC BIPT &amp; Cullen 2013'!$AR$70:$AU$70</c:f>
              <c:numCache>
                <c:formatCode>0.0%</c:formatCode>
                <c:ptCount val="4"/>
                <c:pt idx="0">
                  <c:v>9.0358629374337335E-3</c:v>
                </c:pt>
                <c:pt idx="1">
                  <c:v>4.1961564265154822E-3</c:v>
                </c:pt>
                <c:pt idx="2">
                  <c:v>7.5312499999999338E-4</c:v>
                </c:pt>
                <c:pt idx="3">
                  <c:v>1.680555555555463E-4</c:v>
                </c:pt>
              </c:numCache>
            </c:numRef>
          </c:val>
        </c:ser>
        <c:ser>
          <c:idx val="4"/>
          <c:order val="4"/>
          <c:tx>
            <c:strRef>
              <c:f>'WACC BIPT &amp; Cullen 2013'!$AQ$71</c:f>
              <c:strCache>
                <c:ptCount val="1"/>
                <c:pt idx="0">
                  <c:v>2010</c:v>
                </c:pt>
              </c:strCache>
            </c:strRef>
          </c:tx>
          <c:spPr>
            <a:solidFill>
              <a:schemeClr val="bg2">
                <a:lumMod val="75000"/>
              </a:schemeClr>
            </a:solidFill>
          </c:spPr>
          <c:val>
            <c:numRef>
              <c:f>'WACC BIPT &amp; Cullen 2013'!$AR$71:$AU$71</c:f>
              <c:numCache>
                <c:formatCode>0.0%</c:formatCode>
                <c:ptCount val="4"/>
                <c:pt idx="0">
                  <c:v>1.962414785638536E-3</c:v>
                </c:pt>
                <c:pt idx="1">
                  <c:v>1.9455158309347048E-3</c:v>
                </c:pt>
                <c:pt idx="2">
                  <c:v>1.2175000000000005E-2</c:v>
                </c:pt>
                <c:pt idx="3">
                  <c:v>8.3999999999999908E-3</c:v>
                </c:pt>
              </c:numCache>
            </c:numRef>
          </c:val>
        </c:ser>
        <c:ser>
          <c:idx val="5"/>
          <c:order val="5"/>
          <c:tx>
            <c:strRef>
              <c:f>'WACC BIPT &amp; Cullen 2013'!$AQ$72</c:f>
              <c:strCache>
                <c:ptCount val="1"/>
                <c:pt idx="0">
                  <c:v>High</c:v>
                </c:pt>
              </c:strCache>
            </c:strRef>
          </c:tx>
          <c:spPr>
            <a:solidFill>
              <a:schemeClr val="bg2">
                <a:lumMod val="90000"/>
              </a:schemeClr>
            </a:solidFill>
          </c:spPr>
          <c:val>
            <c:numRef>
              <c:f>'WACC BIPT &amp; Cullen 2013'!$AR$72:$AU$72</c:f>
              <c:numCache>
                <c:formatCode>0.0%</c:formatCode>
                <c:ptCount val="4"/>
                <c:pt idx="0">
                  <c:v>1.8075170428722934E-2</c:v>
                </c:pt>
                <c:pt idx="1">
                  <c:v>3.995896833813059E-2</c:v>
                </c:pt>
                <c:pt idx="2">
                  <c:v>1.7500000000000002E-2</c:v>
                </c:pt>
                <c:pt idx="3">
                  <c:v>1.8800000000000011E-2</c:v>
                </c:pt>
              </c:numCache>
            </c:numRef>
          </c:val>
        </c:ser>
        <c:gapWidth val="63"/>
        <c:overlap val="100"/>
        <c:axId val="458051584"/>
        <c:axId val="458053120"/>
      </c:barChart>
      <c:catAx>
        <c:axId val="458051584"/>
        <c:scaling>
          <c:orientation val="minMax"/>
        </c:scaling>
        <c:delete val="1"/>
        <c:axPos val="l"/>
        <c:numFmt formatCode="General" sourceLinked="1"/>
        <c:tickLblPos val="none"/>
        <c:crossAx val="458053120"/>
        <c:crosses val="autoZero"/>
        <c:auto val="1"/>
        <c:lblAlgn val="ctr"/>
        <c:lblOffset val="100"/>
      </c:catAx>
      <c:valAx>
        <c:axId val="458053120"/>
        <c:scaling>
          <c:orientation val="minMax"/>
          <c:max val="0.15000000000000024"/>
          <c:min val="0.05"/>
        </c:scaling>
        <c:axPos val="b"/>
        <c:majorGridlines>
          <c:spPr>
            <a:ln>
              <a:solidFill>
                <a:schemeClr val="bg1">
                  <a:lumMod val="50000"/>
                </a:schemeClr>
              </a:solidFill>
              <a:prstDash val="dash"/>
            </a:ln>
          </c:spPr>
        </c:majorGridlines>
        <c:numFmt formatCode="0%" sourceLinked="0"/>
        <c:tickLblPos val="nextTo"/>
        <c:spPr>
          <a:ln>
            <a:solidFill>
              <a:schemeClr val="bg1">
                <a:lumMod val="50000"/>
              </a:schemeClr>
            </a:solidFill>
          </a:ln>
        </c:spPr>
        <c:crossAx val="458051584"/>
        <c:crosses val="autoZero"/>
        <c:crossBetween val="between"/>
        <c:majorUnit val="1.0000000000000005E-2"/>
      </c:valAx>
      <c:spPr>
        <a:noFill/>
      </c:spPr>
    </c:plotArea>
    <c:plotVisOnly val="1"/>
  </c:chart>
  <c:spPr>
    <a:noFill/>
    <a:ln>
      <a:noFill/>
    </a:ln>
  </c:spPr>
  <c:txPr>
    <a:bodyPr/>
    <a:lstStyle/>
    <a:p>
      <a:pPr>
        <a:defRPr>
          <a:latin typeface="Arial" pitchFamily="34" charset="0"/>
          <a:cs typeface="Arial" pitchFamily="34" charset="0"/>
        </a:defRPr>
      </a:pPr>
      <a:endParaRPr lang="fr-FR"/>
    </a:p>
  </c:txPr>
  <c:printSettings>
    <c:headerFooter/>
    <c:pageMargins b="0.75000000000000844" l="0.70000000000000062" r="0.70000000000000062" t="0.75000000000000844"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8.2985595703554627E-2"/>
          <c:y val="5.1406851140774222E-2"/>
          <c:w val="0.8607635334526399"/>
          <c:h val="0.82961214458886801"/>
        </c:manualLayout>
      </c:layout>
      <c:scatterChart>
        <c:scatterStyle val="lineMarker"/>
        <c:ser>
          <c:idx val="0"/>
          <c:order val="0"/>
          <c:spPr>
            <a:ln w="28575">
              <a:noFill/>
            </a:ln>
          </c:spPr>
          <c:marker>
            <c:symbol val="circle"/>
            <c:size val="9"/>
            <c:spPr>
              <a:solidFill>
                <a:schemeClr val="bg2">
                  <a:lumMod val="75000"/>
                  <a:alpha val="50196"/>
                </a:schemeClr>
              </a:solidFill>
              <a:ln>
                <a:noFill/>
              </a:ln>
            </c:spPr>
          </c:marker>
          <c:dPt>
            <c:idx val="7"/>
            <c:marker>
              <c:symbol val="circle"/>
              <c:size val="11"/>
              <c:spPr>
                <a:solidFill>
                  <a:srgbClr val="FFC000">
                    <a:alpha val="50196"/>
                  </a:srgbClr>
                </a:solidFill>
                <a:ln>
                  <a:noFill/>
                </a:ln>
              </c:spPr>
            </c:marker>
          </c:dPt>
          <c:dPt>
            <c:idx val="10"/>
            <c:marker>
              <c:symbol val="circle"/>
              <c:size val="11"/>
              <c:spPr>
                <a:solidFill>
                  <a:schemeClr val="accent3">
                    <a:lumMod val="50000"/>
                    <a:alpha val="50196"/>
                  </a:schemeClr>
                </a:solidFill>
                <a:ln>
                  <a:noFill/>
                </a:ln>
              </c:spPr>
            </c:marker>
          </c:dPt>
          <c:dLbls>
            <c:dLbl>
              <c:idx val="0"/>
              <c:layout>
                <c:manualLayout>
                  <c:x val="-3.8265936621607592E-2"/>
                  <c:y val="0"/>
                </c:manualLayout>
              </c:layout>
              <c:tx>
                <c:strRef>
                  <c:f>'WACC BIPT &amp; Cullen 2013'!$BA$55</c:f>
                  <c:strCache>
                    <c:ptCount val="1"/>
                    <c:pt idx="0">
                      <c:v>DK</c:v>
                    </c:pt>
                  </c:strCache>
                </c:strRef>
              </c:tx>
              <c:spPr/>
              <c:txPr>
                <a:bodyPr/>
                <a:lstStyle/>
                <a:p>
                  <a:pPr>
                    <a:defRPr sz="1200" b="0" i="0" strike="noStrike" baseline="0">
                      <a:latin typeface="Arial"/>
                    </a:defRPr>
                  </a:pPr>
                  <a:endParaRPr lang="fr-FR"/>
                </a:p>
              </c:txPr>
              <c:dLblPos val="r"/>
              <c:showVal val="1"/>
            </c:dLbl>
            <c:dLbl>
              <c:idx val="1"/>
              <c:layout>
                <c:manualLayout>
                  <c:x val="-3.8936376371534E-2"/>
                  <c:y val="0"/>
                </c:manualLayout>
              </c:layout>
              <c:tx>
                <c:strRef>
                  <c:f>'WACC BIPT &amp; Cullen 2013'!$BA$56</c:f>
                  <c:strCache>
                    <c:ptCount val="1"/>
                    <c:pt idx="0">
                      <c:v>CH</c:v>
                    </c:pt>
                  </c:strCache>
                </c:strRef>
              </c:tx>
              <c:spPr/>
              <c:txPr>
                <a:bodyPr/>
                <a:lstStyle/>
                <a:p>
                  <a:pPr>
                    <a:defRPr sz="1200" b="0" i="0" strike="noStrike" baseline="0">
                      <a:latin typeface="Arial"/>
                    </a:defRPr>
                  </a:pPr>
                  <a:endParaRPr lang="fr-FR"/>
                </a:p>
              </c:txPr>
              <c:dLblPos val="r"/>
              <c:showVal val="1"/>
            </c:dLbl>
            <c:dLbl>
              <c:idx val="2"/>
              <c:layout>
                <c:manualLayout>
                  <c:x val="-8.3200597140897767E-2"/>
                  <c:y val="0"/>
                </c:manualLayout>
              </c:layout>
              <c:tx>
                <c:strRef>
                  <c:f>'WACC BIPT &amp; Cullen 2013'!$BA$57</c:f>
                  <c:strCache>
                    <c:ptCount val="1"/>
                    <c:pt idx="0">
                      <c:v>NL (Brattle)</c:v>
                    </c:pt>
                  </c:strCache>
                </c:strRef>
              </c:tx>
              <c:spPr/>
              <c:txPr>
                <a:bodyPr/>
                <a:lstStyle/>
                <a:p>
                  <a:pPr>
                    <a:defRPr sz="1200" b="0" i="0" strike="noStrike" baseline="0">
                      <a:latin typeface="Arial"/>
                    </a:defRPr>
                  </a:pPr>
                  <a:endParaRPr lang="fr-FR"/>
                </a:p>
              </c:txPr>
              <c:dLblPos val="r"/>
              <c:showVal val="1"/>
            </c:dLbl>
            <c:dLbl>
              <c:idx val="3"/>
              <c:layout>
                <c:manualLayout>
                  <c:x val="-7.4388417693402514E-2"/>
                  <c:y val="0"/>
                </c:manualLayout>
              </c:layout>
              <c:tx>
                <c:strRef>
                  <c:f>'WACC BIPT &amp; Cullen 2013'!$BA$58</c:f>
                  <c:strCache>
                    <c:ptCount val="1"/>
                    <c:pt idx="0">
                      <c:v>NL (Nera)</c:v>
                    </c:pt>
                  </c:strCache>
                </c:strRef>
              </c:tx>
              <c:spPr/>
              <c:txPr>
                <a:bodyPr/>
                <a:lstStyle/>
                <a:p>
                  <a:pPr>
                    <a:defRPr sz="1200" b="0" i="0" strike="noStrike" baseline="0">
                      <a:latin typeface="Arial"/>
                    </a:defRPr>
                  </a:pPr>
                  <a:endParaRPr lang="fr-FR"/>
                </a:p>
              </c:txPr>
              <c:dLblPos val="r"/>
              <c:showVal val="1"/>
            </c:dLbl>
            <c:dLbl>
              <c:idx val="4"/>
              <c:layout>
                <c:manualLayout>
                  <c:x val="-3.8265936621607592E-2"/>
                  <c:y val="0"/>
                </c:manualLayout>
              </c:layout>
              <c:tx>
                <c:strRef>
                  <c:f>'WACC BIPT &amp; Cullen 2013'!$BA$59</c:f>
                  <c:strCache>
                    <c:ptCount val="1"/>
                    <c:pt idx="0">
                      <c:v>DE</c:v>
                    </c:pt>
                  </c:strCache>
                </c:strRef>
              </c:tx>
              <c:spPr/>
              <c:txPr>
                <a:bodyPr/>
                <a:lstStyle/>
                <a:p>
                  <a:pPr>
                    <a:defRPr sz="1200" b="0" i="0" strike="noStrike" baseline="0">
                      <a:latin typeface="Arial"/>
                    </a:defRPr>
                  </a:pPr>
                  <a:endParaRPr lang="fr-FR"/>
                </a:p>
              </c:txPr>
              <c:dLblPos val="r"/>
              <c:showVal val="1"/>
            </c:dLbl>
            <c:dLbl>
              <c:idx val="5"/>
              <c:layout>
                <c:manualLayout>
                  <c:x val="-3.2165910722252895E-2"/>
                  <c:y val="0"/>
                </c:manualLayout>
              </c:layout>
              <c:tx>
                <c:strRef>
                  <c:f>'WACC BIPT &amp; Cullen 2013'!$BA$60</c:f>
                  <c:strCache>
                    <c:ptCount val="1"/>
                    <c:pt idx="0">
                      <c:v>FI</c:v>
                    </c:pt>
                  </c:strCache>
                </c:strRef>
              </c:tx>
              <c:spPr/>
              <c:txPr>
                <a:bodyPr/>
                <a:lstStyle/>
                <a:p>
                  <a:pPr>
                    <a:defRPr sz="1200" b="0" i="0" strike="noStrike" baseline="0">
                      <a:latin typeface="Arial"/>
                    </a:defRPr>
                  </a:pPr>
                  <a:endParaRPr lang="fr-FR"/>
                </a:p>
              </c:txPr>
              <c:dLblPos val="r"/>
              <c:showVal val="1"/>
            </c:dLbl>
            <c:dLbl>
              <c:idx val="6"/>
              <c:layout>
                <c:manualLayout>
                  <c:x val="-3.9108884378478564E-2"/>
                  <c:y val="0"/>
                </c:manualLayout>
              </c:layout>
              <c:tx>
                <c:strRef>
                  <c:f>'WACC BIPT &amp; Cullen 2013'!$BA$61</c:f>
                  <c:strCache>
                    <c:ptCount val="1"/>
                    <c:pt idx="0">
                      <c:v>SE</c:v>
                    </c:pt>
                  </c:strCache>
                </c:strRef>
              </c:tx>
              <c:spPr/>
              <c:txPr>
                <a:bodyPr/>
                <a:lstStyle/>
                <a:p>
                  <a:pPr>
                    <a:defRPr sz="1200" b="0" i="0" strike="noStrike" baseline="0">
                      <a:latin typeface="Arial"/>
                    </a:defRPr>
                  </a:pPr>
                  <a:endParaRPr lang="fr-FR"/>
                </a:p>
              </c:txPr>
              <c:dLblPos val="r"/>
              <c:showVal val="1"/>
            </c:dLbl>
            <c:dLbl>
              <c:idx val="7"/>
              <c:layout>
                <c:manualLayout>
                  <c:x val="-6.223722227419589E-2"/>
                  <c:y val="0"/>
                </c:manualLayout>
              </c:layout>
              <c:tx>
                <c:strRef>
                  <c:f>'WACC BIPT &amp; Cullen 2013'!$BA$62</c:f>
                  <c:strCache>
                    <c:ptCount val="1"/>
                    <c:pt idx="0">
                      <c:v>BIPT 2013</c:v>
                    </c:pt>
                  </c:strCache>
                </c:strRef>
              </c:tx>
              <c:spPr/>
              <c:txPr>
                <a:bodyPr/>
                <a:lstStyle/>
                <a:p>
                  <a:pPr>
                    <a:defRPr sz="1200" b="0" i="0" strike="noStrike" baseline="0">
                      <a:latin typeface="Arial"/>
                    </a:defRPr>
                  </a:pPr>
                  <a:endParaRPr lang="fr-FR"/>
                </a:p>
              </c:txPr>
              <c:dLblPos val="r"/>
              <c:showVal val="1"/>
            </c:dLbl>
            <c:dLbl>
              <c:idx val="8"/>
              <c:layout>
                <c:manualLayout>
                  <c:x val="-3.8265936621607592E-2"/>
                  <c:y val="0"/>
                </c:manualLayout>
              </c:layout>
              <c:tx>
                <c:strRef>
                  <c:f>'WACC BIPT &amp; Cullen 2013'!$BA$63</c:f>
                  <c:strCache>
                    <c:ptCount val="1"/>
                    <c:pt idx="0">
                      <c:v>UK</c:v>
                    </c:pt>
                  </c:strCache>
                </c:strRef>
              </c:tx>
              <c:spPr/>
              <c:txPr>
                <a:bodyPr/>
                <a:lstStyle/>
                <a:p>
                  <a:pPr>
                    <a:defRPr sz="1200" b="0" i="0" strike="noStrike" baseline="0">
                      <a:latin typeface="Arial"/>
                    </a:defRPr>
                  </a:pPr>
                  <a:endParaRPr lang="fr-FR"/>
                </a:p>
              </c:txPr>
              <c:dLblPos val="r"/>
              <c:showVal val="1"/>
            </c:dLbl>
            <c:dLbl>
              <c:idx val="9"/>
              <c:layout>
                <c:manualLayout>
                  <c:x val="-3.7580299597464256E-2"/>
                  <c:y val="0"/>
                </c:manualLayout>
              </c:layout>
              <c:tx>
                <c:strRef>
                  <c:f>'WACC BIPT &amp; Cullen 2013'!$BA$64</c:f>
                  <c:strCache>
                    <c:ptCount val="1"/>
                    <c:pt idx="0">
                      <c:v>FR</c:v>
                    </c:pt>
                  </c:strCache>
                </c:strRef>
              </c:tx>
              <c:spPr/>
              <c:txPr>
                <a:bodyPr/>
                <a:lstStyle/>
                <a:p>
                  <a:pPr>
                    <a:defRPr sz="1200" b="0" i="0" strike="noStrike" baseline="0">
                      <a:latin typeface="Arial"/>
                    </a:defRPr>
                  </a:pPr>
                  <a:endParaRPr lang="fr-FR"/>
                </a:p>
              </c:txPr>
              <c:dLblPos val="r"/>
              <c:showVal val="1"/>
            </c:dLbl>
            <c:dLbl>
              <c:idx val="10"/>
              <c:layout>
                <c:manualLayout>
                  <c:x val="-8.0752556221516128E-2"/>
                  <c:y val="3.9590274802283181E-17"/>
                </c:manualLayout>
              </c:layout>
              <c:tx>
                <c:strRef>
                  <c:f>'WACC BIPT &amp; Cullen 2013'!$BA$65</c:f>
                  <c:strCache>
                    <c:ptCount val="1"/>
                    <c:pt idx="0">
                      <c:v>BIPT 2010</c:v>
                    </c:pt>
                  </c:strCache>
                </c:strRef>
              </c:tx>
              <c:spPr/>
              <c:txPr>
                <a:bodyPr/>
                <a:lstStyle/>
                <a:p>
                  <a:pPr>
                    <a:defRPr sz="1200" b="0" i="0" strike="noStrike" baseline="0">
                      <a:latin typeface="Arial"/>
                    </a:defRPr>
                  </a:pPr>
                  <a:endParaRPr lang="fr-FR"/>
                </a:p>
              </c:txPr>
              <c:dLblPos val="r"/>
              <c:showVal val="1"/>
            </c:dLbl>
            <c:dLbl>
              <c:idx val="11"/>
              <c:layout>
                <c:manualLayout>
                  <c:x val="-3.9616894313835874E-2"/>
                  <c:y val="0"/>
                </c:manualLayout>
              </c:layout>
              <c:tx>
                <c:strRef>
                  <c:f>'WACC BIPT &amp; Cullen 2013'!$BA$66</c:f>
                  <c:strCache>
                    <c:ptCount val="1"/>
                    <c:pt idx="0">
                      <c:v>NO</c:v>
                    </c:pt>
                  </c:strCache>
                </c:strRef>
              </c:tx>
              <c:spPr/>
              <c:txPr>
                <a:bodyPr/>
                <a:lstStyle/>
                <a:p>
                  <a:pPr>
                    <a:defRPr sz="1200" b="0" i="0" strike="noStrike" baseline="0">
                      <a:latin typeface="Arial"/>
                    </a:defRPr>
                  </a:pPr>
                  <a:endParaRPr lang="fr-FR"/>
                </a:p>
              </c:txPr>
              <c:dLblPos val="r"/>
              <c:showVal val="1"/>
            </c:dLbl>
            <c:dLbl>
              <c:idx val="12"/>
              <c:layout>
                <c:manualLayout>
                  <c:x val="-3.2851547746396481E-2"/>
                  <c:y val="0"/>
                </c:manualLayout>
              </c:layout>
              <c:tx>
                <c:strRef>
                  <c:f>'WACC BIPT &amp; Cullen 2013'!$BA$67</c:f>
                  <c:strCache>
                    <c:ptCount val="1"/>
                    <c:pt idx="0">
                      <c:v>IE</c:v>
                    </c:pt>
                  </c:strCache>
                </c:strRef>
              </c:tx>
              <c:spPr/>
              <c:txPr>
                <a:bodyPr/>
                <a:lstStyle/>
                <a:p>
                  <a:pPr>
                    <a:defRPr sz="1200" b="0" i="0" strike="noStrike" baseline="0">
                      <a:latin typeface="Arial"/>
                    </a:defRPr>
                  </a:pPr>
                  <a:endParaRPr lang="fr-FR"/>
                </a:p>
              </c:txPr>
              <c:dLblPos val="r"/>
              <c:showVal val="1"/>
            </c:dLbl>
            <c:dLbl>
              <c:idx val="13"/>
              <c:layout>
                <c:manualLayout>
                  <c:x val="-3.9616894313835874E-2"/>
                  <c:y val="0"/>
                </c:manualLayout>
              </c:layout>
              <c:tx>
                <c:strRef>
                  <c:f>'WACC BIPT &amp; Cullen 2013'!$BA$68</c:f>
                  <c:strCache>
                    <c:ptCount val="1"/>
                    <c:pt idx="0">
                      <c:v>GR</c:v>
                    </c:pt>
                  </c:strCache>
                </c:strRef>
              </c:tx>
              <c:spPr/>
              <c:txPr>
                <a:bodyPr/>
                <a:lstStyle/>
                <a:p>
                  <a:pPr>
                    <a:defRPr sz="1200" b="0" i="0" strike="noStrike" baseline="0">
                      <a:latin typeface="Arial"/>
                    </a:defRPr>
                  </a:pPr>
                  <a:endParaRPr lang="fr-FR"/>
                </a:p>
              </c:txPr>
              <c:dLblPos val="r"/>
              <c:showVal val="1"/>
            </c:dLbl>
            <c:dLbl>
              <c:idx val="14"/>
              <c:layout>
                <c:manualLayout>
                  <c:x val="-3.2165910722252895E-2"/>
                  <c:y val="0"/>
                </c:manualLayout>
              </c:layout>
              <c:tx>
                <c:strRef>
                  <c:f>'WACC BIPT &amp; Cullen 2013'!$BA$69</c:f>
                  <c:strCache>
                    <c:ptCount val="1"/>
                    <c:pt idx="0">
                      <c:v>IT</c:v>
                    </c:pt>
                  </c:strCache>
                </c:strRef>
              </c:tx>
              <c:spPr/>
              <c:txPr>
                <a:bodyPr/>
                <a:lstStyle/>
                <a:p>
                  <a:pPr>
                    <a:defRPr sz="1200" b="0" i="0" strike="noStrike" baseline="0">
                      <a:latin typeface="Arial"/>
                    </a:defRPr>
                  </a:pPr>
                  <a:endParaRPr lang="fr-FR"/>
                </a:p>
              </c:txPr>
              <c:dLblPos val="r"/>
              <c:showVal val="1"/>
            </c:dLbl>
            <c:dLbl>
              <c:idx val="15"/>
              <c:layout>
                <c:manualLayout>
                  <c:x val="-3.7595496871681094E-2"/>
                  <c:y val="0"/>
                </c:manualLayout>
              </c:layout>
              <c:tx>
                <c:strRef>
                  <c:f>'WACC BIPT &amp; Cullen 2013'!$BA$70</c:f>
                  <c:strCache>
                    <c:ptCount val="1"/>
                    <c:pt idx="0">
                      <c:v>ES</c:v>
                    </c:pt>
                  </c:strCache>
                </c:strRef>
              </c:tx>
              <c:spPr/>
              <c:txPr>
                <a:bodyPr/>
                <a:lstStyle/>
                <a:p>
                  <a:pPr>
                    <a:defRPr sz="1200" b="0" i="0" strike="noStrike" baseline="0">
                      <a:latin typeface="Arial"/>
                    </a:defRPr>
                  </a:pPr>
                  <a:endParaRPr lang="fr-FR"/>
                </a:p>
              </c:txPr>
              <c:dLblPos val="r"/>
              <c:showVal val="1"/>
            </c:dLbl>
            <c:dLbl>
              <c:idx val="16"/>
              <c:layout>
                <c:manualLayout>
                  <c:x val="-3.6005702017286458E-2"/>
                  <c:y val="0"/>
                </c:manualLayout>
              </c:layout>
              <c:tx>
                <c:strRef>
                  <c:f>'WACC BIPT &amp; Cullen 2013'!$BA$71</c:f>
                  <c:strCache>
                    <c:ptCount val="1"/>
                    <c:pt idx="0">
                      <c:v>AT</c:v>
                    </c:pt>
                  </c:strCache>
                </c:strRef>
              </c:tx>
              <c:spPr/>
              <c:txPr>
                <a:bodyPr/>
                <a:lstStyle/>
                <a:p>
                  <a:pPr>
                    <a:defRPr sz="1200" b="0" i="0" strike="noStrike" baseline="0">
                      <a:latin typeface="Arial"/>
                    </a:defRPr>
                  </a:pPr>
                  <a:endParaRPr lang="fr-FR"/>
                </a:p>
              </c:txPr>
              <c:dLblPos val="r"/>
              <c:showVal val="1"/>
            </c:dLbl>
            <c:dLbl>
              <c:idx val="17"/>
              <c:layout>
                <c:manualLayout>
                  <c:x val="-3.6909859847537745E-2"/>
                  <c:y val="0"/>
                </c:manualLayout>
              </c:layout>
              <c:tx>
                <c:strRef>
                  <c:f>'WACC BIPT &amp; Cullen 2013'!$BA$72</c:f>
                  <c:strCache>
                    <c:ptCount val="1"/>
                    <c:pt idx="0">
                      <c:v>PT</c:v>
                    </c:pt>
                  </c:strCache>
                </c:strRef>
              </c:tx>
              <c:spPr/>
              <c:txPr>
                <a:bodyPr/>
                <a:lstStyle/>
                <a:p>
                  <a:pPr>
                    <a:defRPr sz="1200" b="0" i="0" strike="noStrike" baseline="0">
                      <a:latin typeface="Arial"/>
                    </a:defRPr>
                  </a:pPr>
                  <a:endParaRPr lang="fr-FR"/>
                </a:p>
              </c:txPr>
              <c:dLblPos val="r"/>
              <c:showVal val="1"/>
            </c:dLbl>
            <c:txPr>
              <a:bodyPr/>
              <a:lstStyle/>
              <a:p>
                <a:pPr>
                  <a:defRPr sz="1200" baseline="0"/>
                </a:pPr>
                <a:endParaRPr lang="fr-FR"/>
              </a:p>
            </c:txPr>
            <c:showVal val="1"/>
          </c:dLbls>
          <c:xVal>
            <c:numRef>
              <c:f>'WACC BIPT &amp; Cullen 2013'!$BB$55:$BB$72</c:f>
              <c:numCache>
                <c:formatCode>[$-809]mmmm\ yyyy;@</c:formatCode>
                <c:ptCount val="18"/>
                <c:pt idx="0">
                  <c:v>41250</c:v>
                </c:pt>
                <c:pt idx="1">
                  <c:v>40878</c:v>
                </c:pt>
                <c:pt idx="2">
                  <c:v>40983</c:v>
                </c:pt>
                <c:pt idx="3">
                  <c:v>41099</c:v>
                </c:pt>
                <c:pt idx="4">
                  <c:v>41334</c:v>
                </c:pt>
                <c:pt idx="5">
                  <c:v>41396</c:v>
                </c:pt>
                <c:pt idx="6">
                  <c:v>41640</c:v>
                </c:pt>
                <c:pt idx="7">
                  <c:v>41640</c:v>
                </c:pt>
                <c:pt idx="8">
                  <c:v>40744</c:v>
                </c:pt>
                <c:pt idx="9">
                  <c:v>41303</c:v>
                </c:pt>
                <c:pt idx="10">
                  <c:v>40302</c:v>
                </c:pt>
                <c:pt idx="11">
                  <c:v>40453</c:v>
                </c:pt>
                <c:pt idx="12">
                  <c:v>39590</c:v>
                </c:pt>
                <c:pt idx="13">
                  <c:v>38810</c:v>
                </c:pt>
                <c:pt idx="14">
                  <c:v>41369</c:v>
                </c:pt>
                <c:pt idx="15">
                  <c:v>41256</c:v>
                </c:pt>
                <c:pt idx="16">
                  <c:v>41351</c:v>
                </c:pt>
                <c:pt idx="17">
                  <c:v>41185</c:v>
                </c:pt>
              </c:numCache>
            </c:numRef>
          </c:xVal>
          <c:yVal>
            <c:numRef>
              <c:f>'WACC BIPT &amp; Cullen 2013'!$BC$55:$BC$72</c:f>
              <c:numCache>
                <c:formatCode>0.0%</c:formatCode>
                <c:ptCount val="18"/>
                <c:pt idx="0">
                  <c:v>5.3999999999999999E-2</c:v>
                </c:pt>
                <c:pt idx="1">
                  <c:v>5.3999999999999999E-2</c:v>
                </c:pt>
                <c:pt idx="2">
                  <c:v>6.2E-2</c:v>
                </c:pt>
                <c:pt idx="3">
                  <c:v>6.9917999999999925E-2</c:v>
                </c:pt>
                <c:pt idx="4">
                  <c:v>7.0699999999999999E-2</c:v>
                </c:pt>
                <c:pt idx="5">
                  <c:v>6.9999999999999993E-2</c:v>
                </c:pt>
                <c:pt idx="6">
                  <c:v>7.4999999999999997E-2</c:v>
                </c:pt>
                <c:pt idx="7">
                  <c:v>8.1555337818754861E-2</c:v>
                </c:pt>
                <c:pt idx="8">
                  <c:v>8.7999999999999995E-2</c:v>
                </c:pt>
                <c:pt idx="9">
                  <c:v>9.5000000000000001E-2</c:v>
                </c:pt>
                <c:pt idx="10">
                  <c:v>9.8924829571277073E-2</c:v>
                </c:pt>
                <c:pt idx="11">
                  <c:v>0.10199999999999999</c:v>
                </c:pt>
                <c:pt idx="12">
                  <c:v>0.1021</c:v>
                </c:pt>
                <c:pt idx="13">
                  <c:v>0.104</c:v>
                </c:pt>
                <c:pt idx="14">
                  <c:v>0.104</c:v>
                </c:pt>
                <c:pt idx="15">
                  <c:v>0.1048</c:v>
                </c:pt>
                <c:pt idx="16">
                  <c:v>0.1053</c:v>
                </c:pt>
                <c:pt idx="17">
                  <c:v>0.11700000000000001</c:v>
                </c:pt>
              </c:numCache>
            </c:numRef>
          </c:yVal>
        </c:ser>
        <c:axId val="299143936"/>
        <c:axId val="299145472"/>
      </c:scatterChart>
      <c:valAx>
        <c:axId val="299143936"/>
        <c:scaling>
          <c:orientation val="minMax"/>
          <c:max val="41800"/>
          <c:min val="38600"/>
        </c:scaling>
        <c:axPos val="b"/>
        <c:numFmt formatCode="mm/yyyy;@" sourceLinked="0"/>
        <c:tickLblPos val="nextTo"/>
        <c:crossAx val="299145472"/>
        <c:crosses val="autoZero"/>
        <c:crossBetween val="midCat"/>
      </c:valAx>
      <c:valAx>
        <c:axId val="299145472"/>
        <c:scaling>
          <c:orientation val="minMax"/>
          <c:min val="4.0000000000000022E-2"/>
        </c:scaling>
        <c:axPos val="l"/>
        <c:majorGridlines>
          <c:spPr>
            <a:ln>
              <a:solidFill>
                <a:schemeClr val="bg1">
                  <a:lumMod val="50000"/>
                </a:schemeClr>
              </a:solidFill>
              <a:prstDash val="dash"/>
            </a:ln>
          </c:spPr>
        </c:majorGridlines>
        <c:numFmt formatCode="0%" sourceLinked="0"/>
        <c:tickLblPos val="nextTo"/>
        <c:spPr>
          <a:ln>
            <a:solidFill>
              <a:schemeClr val="bg1">
                <a:lumMod val="50000"/>
              </a:schemeClr>
            </a:solidFill>
          </a:ln>
        </c:spPr>
        <c:crossAx val="299143936"/>
        <c:crosses val="autoZero"/>
        <c:crossBetween val="midCat"/>
        <c:majorUnit val="1.0000000000000005E-2"/>
      </c:valAx>
    </c:plotArea>
    <c:plotVisOnly val="1"/>
  </c:chart>
  <c:spPr>
    <a:ln>
      <a:noFill/>
    </a:ln>
  </c:spPr>
  <c:txPr>
    <a:bodyPr/>
    <a:lstStyle/>
    <a:p>
      <a:pPr>
        <a:defRPr sz="1200">
          <a:latin typeface="Arial" pitchFamily="34" charset="0"/>
          <a:cs typeface="Arial" pitchFamily="34" charset="0"/>
        </a:defRPr>
      </a:pPr>
      <a:endParaRPr lang="fr-FR"/>
    </a:p>
  </c:txPr>
  <c:printSettings>
    <c:headerFooter/>
    <c:pageMargins b="0.75000000000000866" l="0.70000000000000062" r="0.70000000000000062" t="0.75000000000000866"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9.0370237973293424E-2"/>
          <c:y val="3.8253598058091254E-2"/>
          <c:w val="0.85516442342022092"/>
          <c:h val="0.87320856286200743"/>
        </c:manualLayout>
      </c:layout>
      <c:scatterChart>
        <c:scatterStyle val="lineMarker"/>
        <c:ser>
          <c:idx val="0"/>
          <c:order val="0"/>
          <c:spPr>
            <a:ln w="28575">
              <a:noFill/>
            </a:ln>
          </c:spPr>
          <c:marker>
            <c:symbol val="circle"/>
            <c:size val="9"/>
            <c:spPr>
              <a:solidFill>
                <a:schemeClr val="bg2">
                  <a:lumMod val="75000"/>
                  <a:alpha val="50000"/>
                </a:schemeClr>
              </a:solidFill>
              <a:ln>
                <a:noFill/>
              </a:ln>
            </c:spPr>
          </c:marker>
          <c:dPt>
            <c:idx val="4"/>
            <c:marker>
              <c:symbol val="circle"/>
              <c:size val="11"/>
              <c:spPr>
                <a:solidFill>
                  <a:srgbClr val="C00000">
                    <a:alpha val="50000"/>
                  </a:srgbClr>
                </a:solidFill>
                <a:ln>
                  <a:noFill/>
                </a:ln>
              </c:spPr>
            </c:marker>
          </c:dPt>
          <c:dPt>
            <c:idx val="8"/>
            <c:marker>
              <c:symbol val="circle"/>
              <c:size val="11"/>
              <c:spPr>
                <a:solidFill>
                  <a:schemeClr val="accent3">
                    <a:lumMod val="50000"/>
                    <a:alpha val="50000"/>
                  </a:schemeClr>
                </a:solidFill>
                <a:ln>
                  <a:noFill/>
                </a:ln>
              </c:spPr>
            </c:marker>
          </c:dPt>
          <c:dLbls>
            <c:dLbl>
              <c:idx val="0"/>
              <c:layout>
                <c:manualLayout>
                  <c:x val="-3.7326667520751242E-2"/>
                  <c:y val="0"/>
                </c:manualLayout>
              </c:layout>
              <c:tx>
                <c:strRef>
                  <c:f>'WACC BIPT &amp; Cullen 2013'!$BQ$55</c:f>
                  <c:strCache>
                    <c:ptCount val="1"/>
                    <c:pt idx="0">
                      <c:v>DK</c:v>
                    </c:pt>
                  </c:strCache>
                </c:strRef>
              </c:tx>
              <c:spPr/>
              <c:txPr>
                <a:bodyPr/>
                <a:lstStyle/>
                <a:p>
                  <a:pPr>
                    <a:defRPr sz="1200" b="0" i="0" strike="noStrike">
                      <a:latin typeface="Arial" pitchFamily="34" charset="0"/>
                      <a:cs typeface="Arial" pitchFamily="34" charset="0"/>
                    </a:defRPr>
                  </a:pPr>
                  <a:endParaRPr lang="fr-FR"/>
                </a:p>
              </c:txPr>
              <c:dLblPos val="r"/>
              <c:showVal val="1"/>
            </c:dLbl>
            <c:dLbl>
              <c:idx val="1"/>
              <c:layout>
                <c:manualLayout>
                  <c:x val="-8.1158369589015331E-2"/>
                  <c:y val="0"/>
                </c:manualLayout>
              </c:layout>
              <c:tx>
                <c:strRef>
                  <c:f>'WACC BIPT &amp; Cullen 2013'!$BQ$56</c:f>
                  <c:strCache>
                    <c:ptCount val="1"/>
                    <c:pt idx="0">
                      <c:v>NL (Brattle)</c:v>
                    </c:pt>
                  </c:strCache>
                </c:strRef>
              </c:tx>
              <c:spPr/>
              <c:txPr>
                <a:bodyPr/>
                <a:lstStyle/>
                <a:p>
                  <a:pPr>
                    <a:defRPr sz="1200" b="0" i="0" strike="noStrike">
                      <a:latin typeface="Arial" pitchFamily="34" charset="0"/>
                      <a:cs typeface="Arial" pitchFamily="34" charset="0"/>
                    </a:defRPr>
                  </a:pPr>
                  <a:endParaRPr lang="fr-FR"/>
                </a:p>
              </c:txPr>
              <c:dLblPos val="r"/>
              <c:showVal val="1"/>
            </c:dLbl>
            <c:dLbl>
              <c:idx val="2"/>
              <c:layout>
                <c:manualLayout>
                  <c:x val="-3.7326667520751242E-2"/>
                  <c:y val="0"/>
                </c:manualLayout>
              </c:layout>
              <c:tx>
                <c:strRef>
                  <c:f>'WACC BIPT &amp; Cullen 2013'!$BQ$57</c:f>
                  <c:strCache>
                    <c:ptCount val="1"/>
                    <c:pt idx="0">
                      <c:v>DE</c:v>
                    </c:pt>
                  </c:strCache>
                </c:strRef>
              </c:tx>
              <c:spPr/>
              <c:txPr>
                <a:bodyPr/>
                <a:lstStyle/>
                <a:p>
                  <a:pPr>
                    <a:defRPr sz="1200" b="0" i="0" strike="noStrike">
                      <a:latin typeface="Arial" pitchFamily="34" charset="0"/>
                      <a:cs typeface="Arial" pitchFamily="34" charset="0"/>
                    </a:defRPr>
                  </a:pPr>
                  <a:endParaRPr lang="fr-FR"/>
                </a:p>
              </c:txPr>
              <c:dLblPos val="r"/>
              <c:showVal val="1"/>
            </c:dLbl>
            <c:dLbl>
              <c:idx val="3"/>
              <c:layout>
                <c:manualLayout>
                  <c:x val="-3.1376371808281636E-2"/>
                  <c:y val="0"/>
                </c:manualLayout>
              </c:layout>
              <c:tx>
                <c:strRef>
                  <c:f>'WACC BIPT &amp; Cullen 2013'!$BQ$58</c:f>
                  <c:strCache>
                    <c:ptCount val="1"/>
                    <c:pt idx="0">
                      <c:v>FI</c:v>
                    </c:pt>
                  </c:strCache>
                </c:strRef>
              </c:tx>
              <c:spPr/>
              <c:txPr>
                <a:bodyPr/>
                <a:lstStyle/>
                <a:p>
                  <a:pPr>
                    <a:defRPr sz="1200" b="0" i="0" strike="noStrike">
                      <a:latin typeface="Arial" pitchFamily="34" charset="0"/>
                      <a:cs typeface="Arial" pitchFamily="34" charset="0"/>
                    </a:defRPr>
                  </a:pPr>
                  <a:endParaRPr lang="fr-FR"/>
                </a:p>
              </c:txPr>
              <c:dLblPos val="r"/>
              <c:showVal val="1"/>
            </c:dLbl>
            <c:dLbl>
              <c:idx val="4"/>
              <c:layout>
                <c:manualLayout>
                  <c:x val="0"/>
                  <c:y val="-6.0061142242803809E-7"/>
                </c:manualLayout>
              </c:layout>
              <c:tx>
                <c:strRef>
                  <c:f>'WACC BIPT &amp; Cullen 2013'!$BQ$59</c:f>
                  <c:strCache>
                    <c:ptCount val="1"/>
                    <c:pt idx="0">
                      <c:v>BIPT 2013</c:v>
                    </c:pt>
                  </c:strCache>
                </c:strRef>
              </c:tx>
              <c:spPr/>
              <c:txPr>
                <a:bodyPr/>
                <a:lstStyle/>
                <a:p>
                  <a:pPr>
                    <a:defRPr sz="1200" b="0" i="0" strike="noStrike">
                      <a:latin typeface="Arial" pitchFamily="34" charset="0"/>
                      <a:cs typeface="Arial" pitchFamily="34" charset="0"/>
                    </a:defRPr>
                  </a:pPr>
                  <a:endParaRPr lang="fr-FR"/>
                </a:p>
              </c:txPr>
              <c:dLblPos val="r"/>
              <c:showVal val="1"/>
            </c:dLbl>
            <c:dLbl>
              <c:idx val="5"/>
              <c:layout>
                <c:manualLayout>
                  <c:x val="-3.7326667520751242E-2"/>
                  <c:y val="6.9920372034894628E-17"/>
                </c:manualLayout>
              </c:layout>
              <c:tx>
                <c:strRef>
                  <c:f>'WACC BIPT &amp; Cullen 2013'!$BQ$60</c:f>
                  <c:strCache>
                    <c:ptCount val="1"/>
                    <c:pt idx="0">
                      <c:v>UK</c:v>
                    </c:pt>
                  </c:strCache>
                </c:strRef>
              </c:tx>
              <c:spPr/>
              <c:txPr>
                <a:bodyPr/>
                <a:lstStyle/>
                <a:p>
                  <a:pPr>
                    <a:defRPr sz="1200" b="0" i="0" strike="noStrike">
                      <a:latin typeface="Arial" pitchFamily="34" charset="0"/>
                      <a:cs typeface="Arial" pitchFamily="34" charset="0"/>
                    </a:defRPr>
                  </a:pPr>
                  <a:endParaRPr lang="fr-FR"/>
                </a:p>
              </c:txPr>
              <c:dLblPos val="r"/>
              <c:showVal val="1"/>
            </c:dLbl>
            <c:dLbl>
              <c:idx val="6"/>
              <c:layout>
                <c:manualLayout>
                  <c:x val="-3.6672684269650833E-2"/>
                  <c:y val="0"/>
                </c:manualLayout>
              </c:layout>
              <c:tx>
                <c:strRef>
                  <c:f>'WACC BIPT &amp; Cullen 2013'!$BQ$61</c:f>
                  <c:strCache>
                    <c:ptCount val="1"/>
                    <c:pt idx="0">
                      <c:v>SE</c:v>
                    </c:pt>
                  </c:strCache>
                </c:strRef>
              </c:tx>
              <c:spPr/>
              <c:txPr>
                <a:bodyPr/>
                <a:lstStyle/>
                <a:p>
                  <a:pPr>
                    <a:defRPr sz="1200" b="0" i="0" strike="noStrike">
                      <a:latin typeface="Arial" pitchFamily="34" charset="0"/>
                      <a:cs typeface="Arial" pitchFamily="34" charset="0"/>
                    </a:defRPr>
                  </a:pPr>
                  <a:endParaRPr lang="fr-FR"/>
                </a:p>
              </c:txPr>
              <c:dLblPos val="r"/>
              <c:showVal val="1"/>
            </c:dLbl>
            <c:dLbl>
              <c:idx val="7"/>
              <c:layout>
                <c:manualLayout>
                  <c:x val="-3.6672684269650833E-2"/>
                  <c:y val="0"/>
                </c:manualLayout>
              </c:layout>
              <c:tx>
                <c:strRef>
                  <c:f>'WACC BIPT &amp; Cullen 2013'!$BQ$62</c:f>
                  <c:strCache>
                    <c:ptCount val="1"/>
                    <c:pt idx="0">
                      <c:v>ES</c:v>
                    </c:pt>
                  </c:strCache>
                </c:strRef>
              </c:tx>
              <c:spPr/>
              <c:txPr>
                <a:bodyPr/>
                <a:lstStyle/>
                <a:p>
                  <a:pPr>
                    <a:defRPr sz="1200" b="0" i="0" strike="noStrike">
                      <a:latin typeface="Arial" pitchFamily="34" charset="0"/>
                      <a:cs typeface="Arial" pitchFamily="34" charset="0"/>
                    </a:defRPr>
                  </a:pPr>
                  <a:endParaRPr lang="fr-FR"/>
                </a:p>
              </c:txPr>
              <c:dLblPos val="r"/>
              <c:showVal val="1"/>
            </c:dLbl>
            <c:dLbl>
              <c:idx val="8"/>
              <c:layout>
                <c:manualLayout>
                  <c:x val="-7.8770417861124112E-2"/>
                  <c:y val="0"/>
                </c:manualLayout>
              </c:layout>
              <c:tx>
                <c:strRef>
                  <c:f>'WACC BIPT &amp; Cullen 2013'!$BQ$63</c:f>
                  <c:strCache>
                    <c:ptCount val="1"/>
                    <c:pt idx="0">
                      <c:v>BIPT 2010</c:v>
                    </c:pt>
                  </c:strCache>
                </c:strRef>
              </c:tx>
              <c:spPr/>
              <c:txPr>
                <a:bodyPr/>
                <a:lstStyle/>
                <a:p>
                  <a:pPr>
                    <a:defRPr sz="1200" b="0" i="0" strike="noStrike">
                      <a:latin typeface="Arial" pitchFamily="34" charset="0"/>
                      <a:cs typeface="Arial" pitchFamily="34" charset="0"/>
                    </a:defRPr>
                  </a:pPr>
                  <a:endParaRPr lang="fr-FR"/>
                </a:p>
              </c:txPr>
              <c:dLblPos val="r"/>
              <c:showVal val="1"/>
            </c:dLbl>
            <c:dLbl>
              <c:idx val="9"/>
              <c:layout>
                <c:manualLayout>
                  <c:x val="-3.6657860025114251E-2"/>
                  <c:y val="0"/>
                </c:manualLayout>
              </c:layout>
              <c:tx>
                <c:strRef>
                  <c:f>'WACC BIPT &amp; Cullen 2013'!$BQ$64</c:f>
                  <c:strCache>
                    <c:ptCount val="1"/>
                    <c:pt idx="0">
                      <c:v>FR</c:v>
                    </c:pt>
                  </c:strCache>
                </c:strRef>
              </c:tx>
              <c:spPr/>
              <c:txPr>
                <a:bodyPr/>
                <a:lstStyle/>
                <a:p>
                  <a:pPr>
                    <a:defRPr sz="1200" b="0" i="0" strike="noStrike">
                      <a:latin typeface="Arial" pitchFamily="34" charset="0"/>
                      <a:cs typeface="Arial" pitchFamily="34" charset="0"/>
                    </a:defRPr>
                  </a:pPr>
                  <a:endParaRPr lang="fr-FR"/>
                </a:p>
              </c:txPr>
              <c:dLblPos val="r"/>
              <c:showVal val="1"/>
            </c:dLbl>
            <c:dLbl>
              <c:idx val="10"/>
              <c:layout>
                <c:manualLayout>
                  <c:x val="-3.1376371808281636E-2"/>
                  <c:y val="0"/>
                </c:manualLayout>
              </c:layout>
              <c:tx>
                <c:strRef>
                  <c:f>'WACC BIPT &amp; Cullen 2013'!$BQ$65</c:f>
                  <c:strCache>
                    <c:ptCount val="1"/>
                    <c:pt idx="0">
                      <c:v>IT</c:v>
                    </c:pt>
                  </c:strCache>
                </c:strRef>
              </c:tx>
              <c:spPr/>
              <c:txPr>
                <a:bodyPr/>
                <a:lstStyle/>
                <a:p>
                  <a:pPr>
                    <a:defRPr sz="1200" b="0" i="0" strike="noStrike">
                      <a:latin typeface="Arial" pitchFamily="34" charset="0"/>
                      <a:cs typeface="Arial" pitchFamily="34" charset="0"/>
                    </a:defRPr>
                  </a:pPr>
                  <a:endParaRPr lang="fr-FR"/>
                </a:p>
              </c:txPr>
              <c:dLblPos val="r"/>
              <c:showVal val="1"/>
            </c:dLbl>
            <c:dLbl>
              <c:idx val="11"/>
              <c:layout>
                <c:manualLayout>
                  <c:x val="-3.6003876774013899E-2"/>
                  <c:y val="0"/>
                </c:manualLayout>
              </c:layout>
              <c:tx>
                <c:strRef>
                  <c:f>'WACC BIPT &amp; Cullen 2013'!$BQ$66</c:f>
                  <c:strCache>
                    <c:ptCount val="1"/>
                    <c:pt idx="0">
                      <c:v>PT</c:v>
                    </c:pt>
                  </c:strCache>
                </c:strRef>
              </c:tx>
              <c:spPr/>
              <c:txPr>
                <a:bodyPr/>
                <a:lstStyle/>
                <a:p>
                  <a:pPr>
                    <a:defRPr sz="1200" b="0" i="0" strike="noStrike">
                      <a:latin typeface="Arial" pitchFamily="34" charset="0"/>
                      <a:cs typeface="Arial" pitchFamily="34" charset="0"/>
                    </a:defRPr>
                  </a:pPr>
                  <a:endParaRPr lang="fr-FR"/>
                </a:p>
              </c:txPr>
              <c:dLblPos val="r"/>
              <c:showVal val="1"/>
            </c:dLbl>
            <c:dLbl>
              <c:idx val="12"/>
              <c:layout>
                <c:manualLayout>
                  <c:x val="-3.5121912246402036E-2"/>
                  <c:y val="0"/>
                </c:manualLayout>
              </c:layout>
              <c:tx>
                <c:strRef>
                  <c:f>'WACC BIPT &amp; Cullen 2013'!$BQ$67</c:f>
                  <c:strCache>
                    <c:ptCount val="1"/>
                    <c:pt idx="0">
                      <c:v>AT</c:v>
                    </c:pt>
                  </c:strCache>
                </c:strRef>
              </c:tx>
              <c:spPr/>
              <c:txPr>
                <a:bodyPr/>
                <a:lstStyle/>
                <a:p>
                  <a:pPr>
                    <a:defRPr sz="1200" b="0" i="0" strike="noStrike">
                      <a:latin typeface="Arial" pitchFamily="34" charset="0"/>
                      <a:cs typeface="Arial" pitchFamily="34" charset="0"/>
                    </a:defRPr>
                  </a:pPr>
                  <a:endParaRPr lang="fr-FR"/>
                </a:p>
              </c:txPr>
              <c:dLblPos val="r"/>
              <c:showVal val="1"/>
            </c:dLbl>
            <c:dLbl>
              <c:idx val="13"/>
              <c:layout>
                <c:manualLayout>
                  <c:x val="-3.8644464837750199E-2"/>
                  <c:y val="0"/>
                </c:manualLayout>
              </c:layout>
              <c:tx>
                <c:strRef>
                  <c:f>'WACC BIPT &amp; Cullen 2013'!$BQ$68</c:f>
                  <c:strCache>
                    <c:ptCount val="1"/>
                    <c:pt idx="0">
                      <c:v>NO</c:v>
                    </c:pt>
                  </c:strCache>
                </c:strRef>
              </c:tx>
              <c:spPr/>
              <c:txPr>
                <a:bodyPr/>
                <a:lstStyle/>
                <a:p>
                  <a:pPr>
                    <a:defRPr sz="1200" b="0" i="0" strike="noStrike">
                      <a:latin typeface="Arial" pitchFamily="34" charset="0"/>
                      <a:cs typeface="Arial" pitchFamily="34" charset="0"/>
                    </a:defRPr>
                  </a:pPr>
                  <a:endParaRPr lang="fr-FR"/>
                </a:p>
              </c:txPr>
              <c:dLblPos val="r"/>
              <c:showVal val="1"/>
            </c:dLbl>
            <c:dLbl>
              <c:idx val="14"/>
              <c:layout>
                <c:manualLayout>
                  <c:x val="-3.8644464837750199E-2"/>
                  <c:y val="0"/>
                </c:manualLayout>
              </c:layout>
              <c:tx>
                <c:strRef>
                  <c:f>'WACC BIPT &amp; Cullen 2013'!$BQ$69</c:f>
                  <c:strCache>
                    <c:ptCount val="1"/>
                    <c:pt idx="0">
                      <c:v>GR</c:v>
                    </c:pt>
                  </c:strCache>
                </c:strRef>
              </c:tx>
              <c:spPr/>
              <c:txPr>
                <a:bodyPr/>
                <a:lstStyle/>
                <a:p>
                  <a:pPr>
                    <a:defRPr sz="1200" b="0" i="0" strike="noStrike">
                      <a:latin typeface="Arial" pitchFamily="34" charset="0"/>
                      <a:cs typeface="Arial" pitchFamily="34" charset="0"/>
                    </a:defRPr>
                  </a:pPr>
                  <a:endParaRPr lang="fr-FR"/>
                </a:p>
              </c:txPr>
              <c:dLblPos val="r"/>
              <c:showVal val="1"/>
            </c:dLbl>
            <c:txPr>
              <a:bodyPr/>
              <a:lstStyle/>
              <a:p>
                <a:pPr>
                  <a:defRPr sz="1200">
                    <a:latin typeface="Arial" pitchFamily="34" charset="0"/>
                    <a:cs typeface="Arial" pitchFamily="34" charset="0"/>
                  </a:defRPr>
                </a:pPr>
                <a:endParaRPr lang="fr-FR"/>
              </a:p>
            </c:txPr>
            <c:showVal val="1"/>
          </c:dLbls>
          <c:xVal>
            <c:numRef>
              <c:f>'WACC BIPT &amp; Cullen 2013'!$BR$55:$BR$69</c:f>
              <c:numCache>
                <c:formatCode>[$-809]mmmm\ yyyy;@</c:formatCode>
                <c:ptCount val="15"/>
                <c:pt idx="0">
                  <c:v>41107</c:v>
                </c:pt>
                <c:pt idx="1">
                  <c:v>40983</c:v>
                </c:pt>
                <c:pt idx="2">
                  <c:v>41275</c:v>
                </c:pt>
                <c:pt idx="3">
                  <c:v>41396</c:v>
                </c:pt>
                <c:pt idx="4">
                  <c:v>41640</c:v>
                </c:pt>
                <c:pt idx="5">
                  <c:v>40617</c:v>
                </c:pt>
                <c:pt idx="6">
                  <c:v>40583</c:v>
                </c:pt>
                <c:pt idx="7">
                  <c:v>41256</c:v>
                </c:pt>
                <c:pt idx="8">
                  <c:v>40302</c:v>
                </c:pt>
                <c:pt idx="9">
                  <c:v>41303</c:v>
                </c:pt>
                <c:pt idx="10">
                  <c:v>40864</c:v>
                </c:pt>
                <c:pt idx="11">
                  <c:v>41029</c:v>
                </c:pt>
                <c:pt idx="12">
                  <c:v>41351</c:v>
                </c:pt>
                <c:pt idx="13">
                  <c:v>41326</c:v>
                </c:pt>
                <c:pt idx="14">
                  <c:v>41255</c:v>
                </c:pt>
              </c:numCache>
            </c:numRef>
          </c:xVal>
          <c:yVal>
            <c:numRef>
              <c:f>'WACC BIPT &amp; Cullen 2013'!$BS$55:$BS$69</c:f>
              <c:numCache>
                <c:formatCode>0.0%</c:formatCode>
                <c:ptCount val="15"/>
                <c:pt idx="0">
                  <c:v>6.2899999999999998E-2</c:v>
                </c:pt>
                <c:pt idx="1">
                  <c:v>6.7000000000000004E-2</c:v>
                </c:pt>
                <c:pt idx="2">
                  <c:v>7.0699999999999999E-2</c:v>
                </c:pt>
                <c:pt idx="3">
                  <c:v>7.6000000000000012E-2</c:v>
                </c:pt>
                <c:pt idx="4">
                  <c:v>8.7834696185358122E-2</c:v>
                </c:pt>
                <c:pt idx="5">
                  <c:v>8.8999999999999996E-2</c:v>
                </c:pt>
                <c:pt idx="6">
                  <c:v>9.4E-2</c:v>
                </c:pt>
                <c:pt idx="7">
                  <c:v>9.9049999999999999E-2</c:v>
                </c:pt>
                <c:pt idx="8">
                  <c:v>0.10294103166186941</c:v>
                </c:pt>
                <c:pt idx="9">
                  <c:v>0.104</c:v>
                </c:pt>
                <c:pt idx="10">
                  <c:v>0.104</c:v>
                </c:pt>
                <c:pt idx="11">
                  <c:v>0.111</c:v>
                </c:pt>
                <c:pt idx="12">
                  <c:v>0.1137</c:v>
                </c:pt>
                <c:pt idx="13">
                  <c:v>0.11799999999999999</c:v>
                </c:pt>
                <c:pt idx="14">
                  <c:v>0.1429</c:v>
                </c:pt>
              </c:numCache>
            </c:numRef>
          </c:yVal>
        </c:ser>
        <c:axId val="299159552"/>
        <c:axId val="299161088"/>
      </c:scatterChart>
      <c:valAx>
        <c:axId val="299159552"/>
        <c:scaling>
          <c:orientation val="minMax"/>
          <c:max val="41650"/>
        </c:scaling>
        <c:axPos val="b"/>
        <c:numFmt formatCode="mm/yyyy;@" sourceLinked="0"/>
        <c:tickLblPos val="nextTo"/>
        <c:crossAx val="299161088"/>
        <c:crosses val="autoZero"/>
        <c:crossBetween val="midCat"/>
        <c:majorUnit val="250"/>
      </c:valAx>
      <c:valAx>
        <c:axId val="299161088"/>
        <c:scaling>
          <c:orientation val="minMax"/>
          <c:max val="0.15000000000000024"/>
          <c:min val="4.0000000000000022E-2"/>
        </c:scaling>
        <c:axPos val="l"/>
        <c:majorGridlines>
          <c:spPr>
            <a:ln>
              <a:solidFill>
                <a:schemeClr val="bg1">
                  <a:lumMod val="50000"/>
                </a:schemeClr>
              </a:solidFill>
              <a:prstDash val="dash"/>
            </a:ln>
          </c:spPr>
        </c:majorGridlines>
        <c:numFmt formatCode="0%" sourceLinked="0"/>
        <c:tickLblPos val="nextTo"/>
        <c:spPr>
          <a:ln>
            <a:solidFill>
              <a:schemeClr val="bg1">
                <a:lumMod val="50000"/>
              </a:schemeClr>
            </a:solidFill>
          </a:ln>
        </c:spPr>
        <c:crossAx val="299159552"/>
        <c:crosses val="autoZero"/>
        <c:crossBetween val="midCat"/>
        <c:majorUnit val="1.0000000000000005E-2"/>
      </c:valAx>
    </c:plotArea>
    <c:plotVisOnly val="1"/>
  </c:chart>
  <c:spPr>
    <a:ln>
      <a:noFill/>
    </a:ln>
  </c:spPr>
  <c:txPr>
    <a:bodyPr/>
    <a:lstStyle/>
    <a:p>
      <a:pPr>
        <a:defRPr sz="1200">
          <a:latin typeface="Arial" pitchFamily="34" charset="0"/>
          <a:cs typeface="Arial" pitchFamily="34" charset="0"/>
        </a:defRPr>
      </a:pPr>
      <a:endParaRPr lang="fr-FR"/>
    </a:p>
  </c:txPr>
  <c:printSettings>
    <c:headerFooter/>
    <c:pageMargins b="0.75000000000000888" l="0.70000000000000062" r="0.70000000000000062" t="0.75000000000000888"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0.14264869209221132"/>
          <c:y val="3.1927254310979231E-2"/>
          <c:w val="0.81512466978264919"/>
          <c:h val="0.87940685240695382"/>
        </c:manualLayout>
      </c:layout>
      <c:barChart>
        <c:barDir val="bar"/>
        <c:grouping val="stacked"/>
        <c:ser>
          <c:idx val="0"/>
          <c:order val="0"/>
          <c:spPr>
            <a:solidFill>
              <a:schemeClr val="bg2">
                <a:lumMod val="90000"/>
              </a:schemeClr>
            </a:solidFill>
          </c:spPr>
          <c:dPt>
            <c:idx val="3"/>
            <c:spPr>
              <a:solidFill>
                <a:schemeClr val="bg2"/>
              </a:solidFill>
            </c:spPr>
          </c:dPt>
          <c:dPt>
            <c:idx val="7"/>
            <c:spPr>
              <a:solidFill>
                <a:srgbClr val="FFC000"/>
              </a:solidFill>
            </c:spPr>
          </c:dPt>
          <c:dPt>
            <c:idx val="10"/>
            <c:spPr>
              <a:solidFill>
                <a:schemeClr val="accent3">
                  <a:lumMod val="50000"/>
                </a:schemeClr>
              </a:solidFill>
            </c:spPr>
          </c:dPt>
          <c:dLbls>
            <c:dLbl>
              <c:idx val="5"/>
              <c:layout/>
              <c:tx>
                <c:rich>
                  <a:bodyPr/>
                  <a:lstStyle/>
                  <a:p>
                    <a:r>
                      <a:rPr lang="en-US"/>
                      <a:t>6.1%</a:t>
                    </a:r>
                  </a:p>
                </c:rich>
              </c:tx>
              <c:showVal val="1"/>
            </c:dLbl>
            <c:dLbl>
              <c:idx val="6"/>
              <c:spPr/>
              <c:txPr>
                <a:bodyPr/>
                <a:lstStyle/>
                <a:p>
                  <a:pPr>
                    <a:defRPr sz="1000">
                      <a:solidFill>
                        <a:sysClr val="windowText" lastClr="000000"/>
                      </a:solidFill>
                    </a:defRPr>
                  </a:pPr>
                  <a:endParaRPr lang="fr-FR"/>
                </a:p>
              </c:txPr>
            </c:dLbl>
            <c:dLbl>
              <c:idx val="7"/>
              <c:spPr/>
              <c:txPr>
                <a:bodyPr/>
                <a:lstStyle/>
                <a:p>
                  <a:pPr>
                    <a:defRPr sz="1200">
                      <a:solidFill>
                        <a:sysClr val="windowText" lastClr="000000"/>
                      </a:solidFill>
                    </a:defRPr>
                  </a:pPr>
                  <a:endParaRPr lang="fr-FR"/>
                </a:p>
              </c:txPr>
            </c:dLbl>
            <c:dLbl>
              <c:idx val="10"/>
              <c:spPr/>
              <c:txPr>
                <a:bodyPr/>
                <a:lstStyle/>
                <a:p>
                  <a:pPr>
                    <a:defRPr sz="1200">
                      <a:solidFill>
                        <a:schemeClr val="bg1"/>
                      </a:solidFill>
                    </a:defRPr>
                  </a:pPr>
                  <a:endParaRPr lang="fr-FR"/>
                </a:p>
              </c:txPr>
            </c:dLbl>
            <c:showVal val="1"/>
          </c:dLbls>
          <c:cat>
            <c:strRef>
              <c:f>'WACC BIPT &amp; Cullen 2013'!$BA$55:$BA$72</c:f>
              <c:strCache>
                <c:ptCount val="18"/>
                <c:pt idx="0">
                  <c:v>DK</c:v>
                </c:pt>
                <c:pt idx="1">
                  <c:v>CH</c:v>
                </c:pt>
                <c:pt idx="2">
                  <c:v>NL (Brattle)</c:v>
                </c:pt>
                <c:pt idx="3">
                  <c:v>NL (Nera)</c:v>
                </c:pt>
                <c:pt idx="4">
                  <c:v>DE</c:v>
                </c:pt>
                <c:pt idx="5">
                  <c:v>FI</c:v>
                </c:pt>
                <c:pt idx="6">
                  <c:v>SE</c:v>
                </c:pt>
                <c:pt idx="7">
                  <c:v>BIPT 2013</c:v>
                </c:pt>
                <c:pt idx="8">
                  <c:v>UK</c:v>
                </c:pt>
                <c:pt idx="9">
                  <c:v>FR</c:v>
                </c:pt>
                <c:pt idx="10">
                  <c:v>BIPT 2010</c:v>
                </c:pt>
                <c:pt idx="11">
                  <c:v>NO</c:v>
                </c:pt>
                <c:pt idx="12">
                  <c:v>IE</c:v>
                </c:pt>
                <c:pt idx="13">
                  <c:v>GR</c:v>
                </c:pt>
                <c:pt idx="14">
                  <c:v>IT</c:v>
                </c:pt>
                <c:pt idx="15">
                  <c:v>ES</c:v>
                </c:pt>
                <c:pt idx="16">
                  <c:v>AT</c:v>
                </c:pt>
                <c:pt idx="17">
                  <c:v>PT</c:v>
                </c:pt>
              </c:strCache>
            </c:strRef>
          </c:cat>
          <c:val>
            <c:numRef>
              <c:f>'WACC BIPT &amp; Cullen 2013'!$BD$55:$BD$72</c:f>
              <c:numCache>
                <c:formatCode>0.0%</c:formatCode>
                <c:ptCount val="18"/>
                <c:pt idx="0">
                  <c:v>5.3999999999999999E-2</c:v>
                </c:pt>
                <c:pt idx="1">
                  <c:v>5.3999999999999999E-2</c:v>
                </c:pt>
                <c:pt idx="2">
                  <c:v>6.2E-2</c:v>
                </c:pt>
                <c:pt idx="3">
                  <c:v>6.9917999999999925E-2</c:v>
                </c:pt>
                <c:pt idx="4">
                  <c:v>7.0699999999999999E-2</c:v>
                </c:pt>
                <c:pt idx="5" formatCode="0.00%">
                  <c:v>6.0999999999999999E-2</c:v>
                </c:pt>
                <c:pt idx="6">
                  <c:v>7.4999999999999997E-2</c:v>
                </c:pt>
                <c:pt idx="7">
                  <c:v>8.1555337818754861E-2</c:v>
                </c:pt>
                <c:pt idx="8">
                  <c:v>8.7999999999999995E-2</c:v>
                </c:pt>
                <c:pt idx="9">
                  <c:v>9.5000000000000001E-2</c:v>
                </c:pt>
                <c:pt idx="10">
                  <c:v>9.8924829571277073E-2</c:v>
                </c:pt>
                <c:pt idx="11">
                  <c:v>0.10199999999999999</c:v>
                </c:pt>
                <c:pt idx="12">
                  <c:v>0.1021</c:v>
                </c:pt>
                <c:pt idx="13">
                  <c:v>0.104</c:v>
                </c:pt>
                <c:pt idx="14">
                  <c:v>0.104</c:v>
                </c:pt>
                <c:pt idx="15">
                  <c:v>0.1048</c:v>
                </c:pt>
                <c:pt idx="16">
                  <c:v>0.1053</c:v>
                </c:pt>
                <c:pt idx="17">
                  <c:v>0.11700000000000001</c:v>
                </c:pt>
              </c:numCache>
            </c:numRef>
          </c:val>
        </c:ser>
        <c:ser>
          <c:idx val="1"/>
          <c:order val="1"/>
          <c:spPr>
            <a:solidFill>
              <a:schemeClr val="bg2"/>
            </a:solidFill>
          </c:spPr>
          <c:dLbls>
            <c:dLbl>
              <c:idx val="5"/>
              <c:layout>
                <c:manualLayout>
                  <c:x val="3.3032572196978201E-2"/>
                  <c:y val="0"/>
                </c:manualLayout>
              </c:layout>
              <c:tx>
                <c:rich>
                  <a:bodyPr/>
                  <a:lstStyle/>
                  <a:p>
                    <a:r>
                      <a:rPr lang="en-US"/>
                      <a:t>7.9%</a:t>
                    </a:r>
                  </a:p>
                </c:rich>
              </c:tx>
              <c:showVal val="1"/>
            </c:dLbl>
            <c:showVal val="1"/>
          </c:dLbls>
          <c:cat>
            <c:strRef>
              <c:f>'WACC BIPT &amp; Cullen 2013'!$BA$55:$BA$72</c:f>
              <c:strCache>
                <c:ptCount val="18"/>
                <c:pt idx="0">
                  <c:v>DK</c:v>
                </c:pt>
                <c:pt idx="1">
                  <c:v>CH</c:v>
                </c:pt>
                <c:pt idx="2">
                  <c:v>NL (Brattle)</c:v>
                </c:pt>
                <c:pt idx="3">
                  <c:v>NL (Nera)</c:v>
                </c:pt>
                <c:pt idx="4">
                  <c:v>DE</c:v>
                </c:pt>
                <c:pt idx="5">
                  <c:v>FI</c:v>
                </c:pt>
                <c:pt idx="6">
                  <c:v>SE</c:v>
                </c:pt>
                <c:pt idx="7">
                  <c:v>BIPT 2013</c:v>
                </c:pt>
                <c:pt idx="8">
                  <c:v>UK</c:v>
                </c:pt>
                <c:pt idx="9">
                  <c:v>FR</c:v>
                </c:pt>
                <c:pt idx="10">
                  <c:v>BIPT 2010</c:v>
                </c:pt>
                <c:pt idx="11">
                  <c:v>NO</c:v>
                </c:pt>
                <c:pt idx="12">
                  <c:v>IE</c:v>
                </c:pt>
                <c:pt idx="13">
                  <c:v>GR</c:v>
                </c:pt>
                <c:pt idx="14">
                  <c:v>IT</c:v>
                </c:pt>
                <c:pt idx="15">
                  <c:v>ES</c:v>
                </c:pt>
                <c:pt idx="16">
                  <c:v>AT</c:v>
                </c:pt>
                <c:pt idx="17">
                  <c:v>PT</c:v>
                </c:pt>
              </c:strCache>
            </c:strRef>
          </c:cat>
          <c:val>
            <c:numRef>
              <c:f>'WACC BIPT &amp; Cullen 2013'!$BE$55:$BE$72</c:f>
              <c:numCache>
                <c:formatCode>[$-809]mmmm\ yyyy;@</c:formatCode>
                <c:ptCount val="18"/>
                <c:pt idx="5" formatCode="0.0%">
                  <c:v>1.7999999999999999E-2</c:v>
                </c:pt>
              </c:numCache>
            </c:numRef>
          </c:val>
        </c:ser>
        <c:gapWidth val="72"/>
        <c:overlap val="100"/>
        <c:axId val="299270528"/>
        <c:axId val="299272064"/>
      </c:barChart>
      <c:catAx>
        <c:axId val="299270528"/>
        <c:scaling>
          <c:orientation val="minMax"/>
        </c:scaling>
        <c:axPos val="l"/>
        <c:tickLblPos val="nextTo"/>
        <c:txPr>
          <a:bodyPr/>
          <a:lstStyle/>
          <a:p>
            <a:pPr>
              <a:defRPr sz="1200"/>
            </a:pPr>
            <a:endParaRPr lang="fr-FR"/>
          </a:p>
        </c:txPr>
        <c:crossAx val="299272064"/>
        <c:crosses val="autoZero"/>
        <c:auto val="1"/>
        <c:lblAlgn val="ctr"/>
        <c:lblOffset val="100"/>
      </c:catAx>
      <c:valAx>
        <c:axId val="299272064"/>
        <c:scaling>
          <c:orientation val="minMax"/>
          <c:max val="0.12000000000000002"/>
        </c:scaling>
        <c:axPos val="b"/>
        <c:majorGridlines>
          <c:spPr>
            <a:ln>
              <a:solidFill>
                <a:schemeClr val="bg1">
                  <a:lumMod val="50000"/>
                </a:schemeClr>
              </a:solidFill>
              <a:prstDash val="dash"/>
            </a:ln>
          </c:spPr>
        </c:majorGridlines>
        <c:numFmt formatCode="0%" sourceLinked="0"/>
        <c:tickLblPos val="nextTo"/>
        <c:txPr>
          <a:bodyPr/>
          <a:lstStyle/>
          <a:p>
            <a:pPr>
              <a:defRPr sz="1200"/>
            </a:pPr>
            <a:endParaRPr lang="fr-FR"/>
          </a:p>
        </c:txPr>
        <c:crossAx val="299270528"/>
        <c:crosses val="autoZero"/>
        <c:crossBetween val="between"/>
        <c:majorUnit val="1.0000000000000005E-2"/>
      </c:valAx>
    </c:plotArea>
    <c:plotVisOnly val="1"/>
  </c:chart>
  <c:spPr>
    <a:ln>
      <a:noFill/>
    </a:ln>
  </c:spPr>
  <c:txPr>
    <a:bodyPr/>
    <a:lstStyle/>
    <a:p>
      <a:pPr>
        <a:defRPr>
          <a:latin typeface="Arial" pitchFamily="34" charset="0"/>
          <a:cs typeface="Arial" pitchFamily="34" charset="0"/>
        </a:defRPr>
      </a:pPr>
      <a:endParaRPr lang="fr-FR"/>
    </a:p>
  </c:txPr>
  <c:printSettings>
    <c:headerFooter/>
    <c:pageMargins b="0.75000000000000866" l="0.70000000000000062" r="0.70000000000000062" t="0.75000000000000866"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lang val="fr-FR"/>
  <c:chart>
    <c:title>
      <c:layout/>
      <c:txPr>
        <a:bodyPr/>
        <a:lstStyle/>
        <a:p>
          <a:pPr>
            <a:defRPr b="1"/>
          </a:pPr>
          <a:endParaRPr lang="fr-FR"/>
        </a:p>
      </c:txPr>
    </c:title>
    <c:plotArea>
      <c:layout/>
      <c:barChart>
        <c:barDir val="bar"/>
        <c:grouping val="clustered"/>
        <c:ser>
          <c:idx val="0"/>
          <c:order val="0"/>
          <c:tx>
            <c:strRef>
              <c:f>'(Cullen 2010 Fixed)'!$B$1</c:f>
              <c:strCache>
                <c:ptCount val="1"/>
                <c:pt idx="0">
                  <c:v>WACC fixe nominal avant impôts</c:v>
                </c:pt>
              </c:strCache>
            </c:strRef>
          </c:tx>
          <c:spPr>
            <a:solidFill>
              <a:srgbClr val="002060"/>
            </a:solidFill>
          </c:spPr>
          <c:dPt>
            <c:idx val="5"/>
            <c:spPr>
              <a:solidFill>
                <a:srgbClr val="FFFF00"/>
              </a:solidFill>
            </c:spPr>
          </c:dPt>
          <c:dPt>
            <c:idx val="14"/>
            <c:spPr>
              <a:solidFill>
                <a:srgbClr val="C00000"/>
              </a:solidFill>
            </c:spPr>
          </c:dPt>
          <c:dLbls>
            <c:showVal val="1"/>
          </c:dLbls>
          <c:cat>
            <c:strRef>
              <c:f>'(Cullen 2010 Fixed)'!$B$4:$B$20</c:f>
              <c:strCache>
                <c:ptCount val="17"/>
                <c:pt idx="0">
                  <c:v>Danemark 2009</c:v>
                </c:pt>
                <c:pt idx="1">
                  <c:v>Suisse 2008*</c:v>
                </c:pt>
                <c:pt idx="2">
                  <c:v>Allemagne 2009**</c:v>
                </c:pt>
                <c:pt idx="3">
                  <c:v>Pays-Bas 2010</c:v>
                </c:pt>
                <c:pt idx="4">
                  <c:v>Suède 2008</c:v>
                </c:pt>
                <c:pt idx="5">
                  <c:v>Belgique 2010</c:v>
                </c:pt>
                <c:pt idx="6">
                  <c:v>R.U. BL BT 2009</c:v>
                </c:pt>
                <c:pt idx="7">
                  <c:v>Italie 2006</c:v>
                </c:pt>
                <c:pt idx="8">
                  <c:v>Irlande 2008</c:v>
                </c:pt>
                <c:pt idx="9">
                  <c:v>Finlande 2009***</c:v>
                </c:pt>
                <c:pt idx="10">
                  <c:v>France 2010</c:v>
                </c:pt>
                <c:pt idx="11">
                  <c:v>Grèce 2006</c:v>
                </c:pt>
                <c:pt idx="12">
                  <c:v>Autriche 2009</c:v>
                </c:pt>
                <c:pt idx="13">
                  <c:v>Espagne 2009</c:v>
                </c:pt>
                <c:pt idx="14">
                  <c:v>Belgique 2008</c:v>
                </c:pt>
                <c:pt idx="15">
                  <c:v>Norvège 2008</c:v>
                </c:pt>
                <c:pt idx="16">
                  <c:v>Portugal (n.d.)</c:v>
                </c:pt>
              </c:strCache>
            </c:strRef>
          </c:cat>
          <c:val>
            <c:numRef>
              <c:f>'(Cullen 2010 Fixed)'!$C$4:$C$20</c:f>
              <c:numCache>
                <c:formatCode>0.0%</c:formatCode>
                <c:ptCount val="17"/>
                <c:pt idx="0" formatCode="0.00%">
                  <c:v>7.6999999999999999E-2</c:v>
                </c:pt>
                <c:pt idx="1">
                  <c:v>8.2000000000000003E-2</c:v>
                </c:pt>
                <c:pt idx="2" formatCode="0.00%">
                  <c:v>8.5900000000000004E-2</c:v>
                </c:pt>
                <c:pt idx="3" formatCode="0.00%">
                  <c:v>8.6900000000000005E-2</c:v>
                </c:pt>
                <c:pt idx="4" formatCode="0.00%">
                  <c:v>9.1999999999999998E-2</c:v>
                </c:pt>
                <c:pt idx="5" formatCode="0.00%">
                  <c:v>9.6100000000000005E-2</c:v>
                </c:pt>
                <c:pt idx="6" formatCode="0.00%">
                  <c:v>0.10100000000000001</c:v>
                </c:pt>
                <c:pt idx="7" formatCode="0.00%">
                  <c:v>0.10199999999999999</c:v>
                </c:pt>
                <c:pt idx="8" formatCode="0.00%">
                  <c:v>0.1021</c:v>
                </c:pt>
                <c:pt idx="9" formatCode="0.00%">
                  <c:v>0.10255</c:v>
                </c:pt>
                <c:pt idx="10" formatCode="0.00%">
                  <c:v>0.104</c:v>
                </c:pt>
                <c:pt idx="11" formatCode="0.00%">
                  <c:v>0.104</c:v>
                </c:pt>
                <c:pt idx="12" formatCode="0.00%">
                  <c:v>0.1048</c:v>
                </c:pt>
                <c:pt idx="13" formatCode="0.00%">
                  <c:v>0.1094</c:v>
                </c:pt>
                <c:pt idx="14" formatCode="0.00%">
                  <c:v>0.112</c:v>
                </c:pt>
                <c:pt idx="15" formatCode="0.00%">
                  <c:v>0.125</c:v>
                </c:pt>
                <c:pt idx="16" formatCode="0.00%">
                  <c:v>0.13200000000000001</c:v>
                </c:pt>
              </c:numCache>
            </c:numRef>
          </c:val>
        </c:ser>
        <c:axId val="299291776"/>
        <c:axId val="315002880"/>
      </c:barChart>
      <c:catAx>
        <c:axId val="299291776"/>
        <c:scaling>
          <c:orientation val="maxMin"/>
        </c:scaling>
        <c:axPos val="l"/>
        <c:numFmt formatCode="General" sourceLinked="1"/>
        <c:tickLblPos val="nextTo"/>
        <c:txPr>
          <a:bodyPr rot="0" vert="horz"/>
          <a:lstStyle/>
          <a:p>
            <a:pPr>
              <a:defRPr sz="1200" b="0" i="0" u="none" strike="noStrike" baseline="0">
                <a:solidFill>
                  <a:srgbClr val="000000"/>
                </a:solidFill>
                <a:latin typeface="Arial"/>
                <a:ea typeface="Arial"/>
                <a:cs typeface="Arial"/>
              </a:defRPr>
            </a:pPr>
            <a:endParaRPr lang="fr-FR"/>
          </a:p>
        </c:txPr>
        <c:crossAx val="315002880"/>
        <c:crosses val="autoZero"/>
        <c:auto val="1"/>
        <c:lblAlgn val="ctr"/>
        <c:lblOffset val="100"/>
      </c:catAx>
      <c:valAx>
        <c:axId val="315002880"/>
        <c:scaling>
          <c:orientation val="minMax"/>
        </c:scaling>
        <c:axPos val="t"/>
        <c:majorGridlines/>
        <c:numFmt formatCode="0%" sourceLinked="0"/>
        <c:tickLblPos val="nextTo"/>
        <c:txPr>
          <a:bodyPr rot="0" vert="horz"/>
          <a:lstStyle/>
          <a:p>
            <a:pPr>
              <a:defRPr sz="1200" b="0" i="0" u="none" strike="noStrike" baseline="0">
                <a:solidFill>
                  <a:srgbClr val="000000"/>
                </a:solidFill>
                <a:latin typeface="Arial"/>
                <a:ea typeface="Arial"/>
                <a:cs typeface="Arial"/>
              </a:defRPr>
            </a:pPr>
            <a:endParaRPr lang="fr-FR"/>
          </a:p>
        </c:txPr>
        <c:crossAx val="299291776"/>
        <c:crosses val="autoZero"/>
        <c:crossBetween val="between"/>
      </c:valAx>
    </c:plotArea>
    <c:plotVisOnly val="1"/>
    <c:dispBlanksAs val="zero"/>
  </c:chart>
  <c:spPr>
    <a:ln>
      <a:noFill/>
    </a:ln>
  </c:spPr>
  <c:txPr>
    <a:bodyPr/>
    <a:lstStyle/>
    <a:p>
      <a:pPr>
        <a:defRPr sz="1000" b="0" i="0" u="none" strike="noStrike" baseline="0">
          <a:solidFill>
            <a:srgbClr val="000000"/>
          </a:solidFill>
          <a:latin typeface="Arial"/>
          <a:ea typeface="Arial"/>
          <a:cs typeface="Arial"/>
        </a:defRPr>
      </a:pPr>
      <a:endParaRPr lang="fr-FR"/>
    </a:p>
  </c:txPr>
  <c:printSettings>
    <c:headerFooter/>
    <c:pageMargins b="0.75000000000001166" l="0.70000000000000062" r="0.70000000000000062" t="0.75000000000001166"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0.42218242345048496"/>
          <c:y val="1.1523291621801835E-2"/>
          <c:w val="0.76777499790496673"/>
          <c:h val="0.87577295017205692"/>
        </c:manualLayout>
      </c:layout>
      <c:barChart>
        <c:barDir val="bar"/>
        <c:grouping val="stacked"/>
        <c:ser>
          <c:idx val="0"/>
          <c:order val="0"/>
          <c:tx>
            <c:strRef>
              <c:f>'(Cullen 2010 Fixed)'!$M$3</c:f>
              <c:strCache>
                <c:ptCount val="1"/>
                <c:pt idx="0">
                  <c:v>Ecart</c:v>
                </c:pt>
              </c:strCache>
            </c:strRef>
          </c:tx>
          <c:spPr>
            <a:solidFill>
              <a:srgbClr val="002060"/>
            </a:solidFill>
          </c:spPr>
          <c:dPt>
            <c:idx val="0"/>
            <c:spPr>
              <a:solidFill>
                <a:srgbClr val="FFFF00"/>
              </a:solidFill>
            </c:spPr>
          </c:dPt>
          <c:dLbls>
            <c:dLbl>
              <c:idx val="0"/>
              <c:layout>
                <c:manualLayout>
                  <c:x val="0.23276277384644994"/>
                  <c:y val="2.6506574808622692E-6"/>
                </c:manualLayout>
              </c:layout>
              <c:showVal val="1"/>
            </c:dLbl>
            <c:dLbl>
              <c:idx val="1"/>
              <c:layout>
                <c:manualLayout>
                  <c:x val="0.18626709339540937"/>
                  <c:y val="-4.0234035384510303E-3"/>
                </c:manualLayout>
              </c:layout>
              <c:showVal val="1"/>
            </c:dLbl>
            <c:dLbl>
              <c:idx val="2"/>
              <c:layout>
                <c:manualLayout>
                  <c:x val="0.16449981545661391"/>
                  <c:y val="-2.830313154565141E-4"/>
                </c:manualLayout>
              </c:layout>
              <c:showVal val="1"/>
            </c:dLbl>
            <c:dLbl>
              <c:idx val="3"/>
              <c:layout>
                <c:manualLayout>
                  <c:x val="0.12348080697378662"/>
                  <c:y val="3.1719534520985092E-3"/>
                </c:manualLayout>
              </c:layout>
              <c:showVal val="1"/>
            </c:dLbl>
            <c:dLbl>
              <c:idx val="4"/>
              <c:layout>
                <c:manualLayout>
                  <c:x val="0.10373003821436025"/>
                  <c:y val="-7.4789773410019389E-3"/>
                </c:manualLayout>
              </c:layout>
              <c:showVal val="1"/>
            </c:dLbl>
            <c:dLbl>
              <c:idx val="5"/>
              <c:layout>
                <c:manualLayout>
                  <c:x val="0.1050408617096634"/>
                  <c:y val="1.4725874893679756E-6"/>
                </c:manualLayout>
              </c:layout>
              <c:showVal val="1"/>
            </c:dLbl>
            <c:dLbl>
              <c:idx val="6"/>
              <c:layout>
                <c:manualLayout>
                  <c:x val="-6.1079440016202795E-2"/>
                  <c:y val="-1.1221116668983868E-2"/>
                </c:manualLayout>
              </c:layout>
              <c:showVal val="1"/>
            </c:dLbl>
            <c:dLbl>
              <c:idx val="7"/>
              <c:layout>
                <c:manualLayout>
                  <c:x val="-7.8340980660469975E-2"/>
                  <c:y val="-2.945174978735997E-7"/>
                </c:manualLayout>
              </c:layout>
              <c:showVal val="1"/>
            </c:dLbl>
            <c:dLbl>
              <c:idx val="8"/>
              <c:layout>
                <c:manualLayout>
                  <c:x val="-0.10706600690264433"/>
                  <c:y val="-2.9451749787788236E-7"/>
                </c:manualLayout>
              </c:layout>
              <c:showVal val="1"/>
            </c:dLbl>
            <c:showVal val="1"/>
          </c:dLbls>
          <c:cat>
            <c:strRef>
              <c:f>'(Cullen 2010 Fixed)'!$P$4:$P$12</c:f>
              <c:strCache>
                <c:ptCount val="9"/>
                <c:pt idx="0">
                  <c:v>Belgique  2010-2008</c:v>
                </c:pt>
                <c:pt idx="1">
                  <c:v>Pays-Bas  2010-2006</c:v>
                </c:pt>
                <c:pt idx="2">
                  <c:v>Allemagne** 2009-2007</c:v>
                </c:pt>
                <c:pt idx="3">
                  <c:v>Suisse * 2009-2008</c:v>
                </c:pt>
                <c:pt idx="4">
                  <c:v>Danemark  2009-2008</c:v>
                </c:pt>
                <c:pt idx="5">
                  <c:v>France 2010-2008</c:v>
                </c:pt>
                <c:pt idx="6">
                  <c:v>R.U. BL BT 2009-2005</c:v>
                </c:pt>
                <c:pt idx="7">
                  <c:v>Espagne  2009-2008</c:v>
                </c:pt>
                <c:pt idx="8">
                  <c:v>Finlande*** 2009-2008</c:v>
                </c:pt>
              </c:strCache>
            </c:strRef>
          </c:cat>
          <c:val>
            <c:numRef>
              <c:f>'(Cullen 2010 Fixed)'!$M$4:$M$12</c:f>
              <c:numCache>
                <c:formatCode>0.00%</c:formatCode>
                <c:ptCount val="9"/>
                <c:pt idx="0">
                  <c:v>-1.5899999999999997E-2</c:v>
                </c:pt>
                <c:pt idx="1">
                  <c:v>-1.1099999999999999E-2</c:v>
                </c:pt>
                <c:pt idx="2">
                  <c:v>-8.8000000000000023E-3</c:v>
                </c:pt>
                <c:pt idx="3">
                  <c:v>-5.499999999999991E-3</c:v>
                </c:pt>
                <c:pt idx="4">
                  <c:v>-3.0000000000000027E-3</c:v>
                </c:pt>
                <c:pt idx="5">
                  <c:v>-3.0000000000000027E-3</c:v>
                </c:pt>
                <c:pt idx="6">
                  <c:v>1.0000000000000009E-3</c:v>
                </c:pt>
                <c:pt idx="7">
                  <c:v>1.2999999999999956E-3</c:v>
                </c:pt>
                <c:pt idx="8">
                  <c:v>4.4000000000000011E-3</c:v>
                </c:pt>
              </c:numCache>
            </c:numRef>
          </c:val>
        </c:ser>
        <c:ser>
          <c:idx val="1"/>
          <c:order val="1"/>
          <c:spPr>
            <a:noFill/>
          </c:spPr>
          <c:cat>
            <c:strRef>
              <c:f>'(Cullen 2010 Fixed)'!$P$4:$P$12</c:f>
              <c:strCache>
                <c:ptCount val="9"/>
                <c:pt idx="0">
                  <c:v>Belgique  2010-2008</c:v>
                </c:pt>
                <c:pt idx="1">
                  <c:v>Pays-Bas  2010-2006</c:v>
                </c:pt>
                <c:pt idx="2">
                  <c:v>Allemagne** 2009-2007</c:v>
                </c:pt>
                <c:pt idx="3">
                  <c:v>Suisse * 2009-2008</c:v>
                </c:pt>
                <c:pt idx="4">
                  <c:v>Danemark  2009-2008</c:v>
                </c:pt>
                <c:pt idx="5">
                  <c:v>France 2010-2008</c:v>
                </c:pt>
                <c:pt idx="6">
                  <c:v>R.U. BL BT 2009-2005</c:v>
                </c:pt>
                <c:pt idx="7">
                  <c:v>Espagne  2009-2008</c:v>
                </c:pt>
                <c:pt idx="8">
                  <c:v>Finlande*** 2009-2008</c:v>
                </c:pt>
              </c:strCache>
            </c:strRef>
          </c:cat>
          <c:val>
            <c:numRef>
              <c:f>'(Cullen 2010 Fixed)'!$N$4:$N$12</c:f>
              <c:numCache>
                <c:formatCode>0.00%</c:formatCode>
                <c:ptCount val="9"/>
                <c:pt idx="0">
                  <c:v>-4.1000000000000029E-3</c:v>
                </c:pt>
                <c:pt idx="1">
                  <c:v>-8.9000000000000017E-3</c:v>
                </c:pt>
                <c:pt idx="2">
                  <c:v>-1.1199999999999998E-2</c:v>
                </c:pt>
                <c:pt idx="3">
                  <c:v>-1.4500000000000009E-2</c:v>
                </c:pt>
                <c:pt idx="4">
                  <c:v>-1.6999999999999998E-2</c:v>
                </c:pt>
                <c:pt idx="5">
                  <c:v>-1.6999999999999998E-2</c:v>
                </c:pt>
              </c:numCache>
            </c:numRef>
          </c:val>
        </c:ser>
        <c:overlap val="100"/>
        <c:axId val="315138816"/>
        <c:axId val="315140352"/>
      </c:barChart>
      <c:catAx>
        <c:axId val="315138816"/>
        <c:scaling>
          <c:orientation val="minMax"/>
        </c:scaling>
        <c:axPos val="l"/>
        <c:numFmt formatCode="General" sourceLinked="1"/>
        <c:tickLblPos val="nextTo"/>
        <c:spPr>
          <a:noFill/>
        </c:spPr>
        <c:txPr>
          <a:bodyPr rot="0" vert="horz"/>
          <a:lstStyle/>
          <a:p>
            <a:pPr>
              <a:defRPr sz="1200" b="0" i="0" u="none" strike="noStrike" baseline="0">
                <a:solidFill>
                  <a:srgbClr val="000000"/>
                </a:solidFill>
                <a:latin typeface="Arial"/>
                <a:ea typeface="Arial"/>
                <a:cs typeface="Arial"/>
              </a:defRPr>
            </a:pPr>
            <a:endParaRPr lang="fr-FR"/>
          </a:p>
        </c:txPr>
        <c:crossAx val="315140352"/>
        <c:crossesAt val="-5"/>
        <c:lblAlgn val="ctr"/>
        <c:lblOffset val="0"/>
      </c:catAx>
      <c:valAx>
        <c:axId val="315140352"/>
        <c:scaling>
          <c:orientation val="minMax"/>
          <c:min val="-2.0000000000000011E-2"/>
        </c:scaling>
        <c:axPos val="b"/>
        <c:majorGridlines/>
        <c:numFmt formatCode="0%" sourceLinked="0"/>
        <c:tickLblPos val="nextTo"/>
        <c:txPr>
          <a:bodyPr rot="0" vert="horz"/>
          <a:lstStyle/>
          <a:p>
            <a:pPr>
              <a:defRPr sz="1200" b="0" i="0" u="none" strike="noStrike" baseline="0">
                <a:solidFill>
                  <a:srgbClr val="000000"/>
                </a:solidFill>
                <a:latin typeface="Arial"/>
                <a:ea typeface="Arial"/>
                <a:cs typeface="Arial"/>
              </a:defRPr>
            </a:pPr>
            <a:endParaRPr lang="fr-FR"/>
          </a:p>
        </c:txPr>
        <c:crossAx val="315138816"/>
        <c:crossesAt val="1"/>
        <c:crossBetween val="between"/>
        <c:majorUnit val="1.0000000000000005E-2"/>
      </c:valAx>
      <c:spPr>
        <a:noFill/>
      </c:spPr>
    </c:plotArea>
    <c:plotVisOnly val="1"/>
    <c:dispBlanksAs val="zero"/>
  </c:chart>
  <c:spPr>
    <a:ln>
      <a:noFill/>
    </a:ln>
  </c:spPr>
  <c:txPr>
    <a:bodyPr/>
    <a:lstStyle/>
    <a:p>
      <a:pPr>
        <a:defRPr sz="1000" b="0" i="0" u="none" strike="noStrike" baseline="0">
          <a:solidFill>
            <a:srgbClr val="000000"/>
          </a:solidFill>
          <a:latin typeface="Arial"/>
          <a:ea typeface="Arial"/>
          <a:cs typeface="Arial"/>
        </a:defRPr>
      </a:pPr>
      <a:endParaRPr lang="fr-FR"/>
    </a:p>
  </c:txPr>
  <c:printSettings>
    <c:headerFooter/>
    <c:pageMargins b="0.7500000000000121" l="0.70000000000000062" r="0.70000000000000062" t="0.750000000000012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fr-FR"/>
  <c:chart>
    <c:title>
      <c:layout/>
      <c:txPr>
        <a:bodyPr/>
        <a:lstStyle/>
        <a:p>
          <a:pPr>
            <a:defRPr b="1"/>
          </a:pPr>
          <a:endParaRPr lang="fr-FR"/>
        </a:p>
      </c:txPr>
    </c:title>
    <c:plotArea>
      <c:layout/>
      <c:barChart>
        <c:barDir val="bar"/>
        <c:grouping val="clustered"/>
        <c:ser>
          <c:idx val="0"/>
          <c:order val="0"/>
          <c:tx>
            <c:strRef>
              <c:f>'(Cullen 2010 Mobile)'!$B$1</c:f>
              <c:strCache>
                <c:ptCount val="1"/>
                <c:pt idx="0">
                  <c:v>WACC Mobile nominal avant impôts</c:v>
                </c:pt>
              </c:strCache>
            </c:strRef>
          </c:tx>
          <c:spPr>
            <a:solidFill>
              <a:srgbClr val="002060"/>
            </a:solidFill>
          </c:spPr>
          <c:dPt>
            <c:idx val="2"/>
            <c:spPr>
              <a:solidFill>
                <a:srgbClr val="FFC000"/>
              </a:solidFill>
            </c:spPr>
          </c:dPt>
          <c:dPt>
            <c:idx val="7"/>
            <c:spPr>
              <a:solidFill>
                <a:srgbClr val="C00000"/>
              </a:solidFill>
            </c:spPr>
          </c:dPt>
          <c:dLbls>
            <c:showVal val="1"/>
          </c:dLbls>
          <c:cat>
            <c:strRef>
              <c:f>'(Cullen 2010 Mobile)'!$B$4:$B$16</c:f>
              <c:strCache>
                <c:ptCount val="13"/>
                <c:pt idx="0">
                  <c:v>Allemagne 2009°</c:v>
                </c:pt>
                <c:pt idx="1">
                  <c:v>Danemark 2009</c:v>
                </c:pt>
                <c:pt idx="2">
                  <c:v>Belgique 2010</c:v>
                </c:pt>
                <c:pt idx="3">
                  <c:v>Royaume-Uni 2010°°</c:v>
                </c:pt>
                <c:pt idx="4">
                  <c:v>Pays-Bas 2010</c:v>
                </c:pt>
                <c:pt idx="5">
                  <c:v>Espagne 2009°°°</c:v>
                </c:pt>
                <c:pt idx="6">
                  <c:v>France 2010</c:v>
                </c:pt>
                <c:pt idx="7">
                  <c:v>Belgique 2006</c:v>
                </c:pt>
                <c:pt idx="8">
                  <c:v>Italie 2006</c:v>
                </c:pt>
                <c:pt idx="9">
                  <c:v>Suède 2008</c:v>
                </c:pt>
                <c:pt idx="10">
                  <c:v>Finlande 2009***</c:v>
                </c:pt>
                <c:pt idx="11">
                  <c:v>Norvège 2008</c:v>
                </c:pt>
                <c:pt idx="12">
                  <c:v>Grèce 2008</c:v>
                </c:pt>
              </c:strCache>
            </c:strRef>
          </c:cat>
          <c:val>
            <c:numRef>
              <c:f>'(Cullen 2010 Mobile)'!$C$4:$C$16</c:f>
              <c:numCache>
                <c:formatCode>0.00%</c:formatCode>
                <c:ptCount val="13"/>
                <c:pt idx="0">
                  <c:v>9.69E-2</c:v>
                </c:pt>
                <c:pt idx="1">
                  <c:v>9.8500000000000004E-2</c:v>
                </c:pt>
                <c:pt idx="2">
                  <c:v>0.10050000000000001</c:v>
                </c:pt>
                <c:pt idx="3">
                  <c:v>0.10199999999999999</c:v>
                </c:pt>
                <c:pt idx="4">
                  <c:v>0.1062</c:v>
                </c:pt>
                <c:pt idx="5">
                  <c:v>0.11523333333333331</c:v>
                </c:pt>
                <c:pt idx="6">
                  <c:v>0.1178</c:v>
                </c:pt>
                <c:pt idx="7">
                  <c:v>0.12239999999999999</c:v>
                </c:pt>
                <c:pt idx="8">
                  <c:v>0.124</c:v>
                </c:pt>
                <c:pt idx="9">
                  <c:v>0.129</c:v>
                </c:pt>
                <c:pt idx="10">
                  <c:v>0.13974999999999999</c:v>
                </c:pt>
                <c:pt idx="11">
                  <c:v>0.14199999999999999</c:v>
                </c:pt>
                <c:pt idx="12">
                  <c:v>0.14810000000000001</c:v>
                </c:pt>
              </c:numCache>
            </c:numRef>
          </c:val>
        </c:ser>
        <c:axId val="340589184"/>
        <c:axId val="340717952"/>
      </c:barChart>
      <c:catAx>
        <c:axId val="340589184"/>
        <c:scaling>
          <c:orientation val="maxMin"/>
        </c:scaling>
        <c:axPos val="l"/>
        <c:numFmt formatCode="General" sourceLinked="1"/>
        <c:tickLblPos val="nextTo"/>
        <c:txPr>
          <a:bodyPr rot="0" vert="horz"/>
          <a:lstStyle/>
          <a:p>
            <a:pPr>
              <a:defRPr sz="1200" b="0" i="0" u="none" strike="noStrike" baseline="0">
                <a:solidFill>
                  <a:srgbClr val="000000"/>
                </a:solidFill>
                <a:latin typeface="Arial"/>
                <a:ea typeface="Arial"/>
                <a:cs typeface="Arial"/>
              </a:defRPr>
            </a:pPr>
            <a:endParaRPr lang="fr-FR"/>
          </a:p>
        </c:txPr>
        <c:crossAx val="340717952"/>
        <c:crosses val="autoZero"/>
        <c:auto val="1"/>
        <c:lblAlgn val="ctr"/>
        <c:lblOffset val="100"/>
      </c:catAx>
      <c:valAx>
        <c:axId val="340717952"/>
        <c:scaling>
          <c:orientation val="minMax"/>
        </c:scaling>
        <c:axPos val="t"/>
        <c:majorGridlines/>
        <c:numFmt formatCode="0%" sourceLinked="0"/>
        <c:tickLblPos val="nextTo"/>
        <c:txPr>
          <a:bodyPr rot="0" vert="horz"/>
          <a:lstStyle/>
          <a:p>
            <a:pPr>
              <a:defRPr sz="1200" b="0" i="0" u="none" strike="noStrike" baseline="0">
                <a:solidFill>
                  <a:srgbClr val="000000"/>
                </a:solidFill>
                <a:latin typeface="Arial"/>
                <a:ea typeface="Arial"/>
                <a:cs typeface="Arial"/>
              </a:defRPr>
            </a:pPr>
            <a:endParaRPr lang="fr-FR"/>
          </a:p>
        </c:txPr>
        <c:crossAx val="340589184"/>
        <c:crosses val="autoZero"/>
        <c:crossBetween val="between"/>
      </c:valAx>
    </c:plotArea>
    <c:plotVisOnly val="1"/>
    <c:dispBlanksAs val="zero"/>
  </c:chart>
  <c:spPr>
    <a:ln>
      <a:noFill/>
    </a:ln>
  </c:spPr>
  <c:txPr>
    <a:bodyPr/>
    <a:lstStyle/>
    <a:p>
      <a:pPr>
        <a:defRPr sz="1000" b="0" i="0" u="none" strike="noStrike" baseline="0">
          <a:solidFill>
            <a:srgbClr val="000000"/>
          </a:solidFill>
          <a:latin typeface="Arial"/>
          <a:ea typeface="Arial"/>
          <a:cs typeface="Arial"/>
        </a:defRPr>
      </a:pPr>
      <a:endParaRPr lang="fr-FR"/>
    </a:p>
  </c:txPr>
  <c:printSettings>
    <c:headerFooter/>
    <c:pageMargins b="0.75000000000001166" l="0.70000000000000062" r="0.70000000000000062" t="0.75000000000001166"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0.34905644479151865"/>
          <c:y val="6.6944706948514218E-2"/>
          <c:w val="0.58497934713006039"/>
          <c:h val="0.85809369980626549"/>
        </c:manualLayout>
      </c:layout>
      <c:barChart>
        <c:barDir val="bar"/>
        <c:grouping val="stacked"/>
        <c:ser>
          <c:idx val="0"/>
          <c:order val="0"/>
          <c:tx>
            <c:strRef>
              <c:f>'(Cullen 2010 Mobile)'!$M$3</c:f>
              <c:strCache>
                <c:ptCount val="1"/>
                <c:pt idx="0">
                  <c:v>Ecart entre la dernière décision post-cc et la précédente</c:v>
                </c:pt>
              </c:strCache>
            </c:strRef>
          </c:tx>
          <c:spPr>
            <a:solidFill>
              <a:srgbClr val="002060"/>
            </a:solidFill>
          </c:spPr>
          <c:dPt>
            <c:idx val="2"/>
            <c:spPr>
              <a:solidFill>
                <a:srgbClr val="FFFF00"/>
              </a:solidFill>
            </c:spPr>
          </c:dPt>
          <c:dLbls>
            <c:dLbl>
              <c:idx val="0"/>
              <c:layout>
                <c:manualLayout>
                  <c:x val="0.22754012388523776"/>
                  <c:y val="1.6324185259914633E-6"/>
                </c:manualLayout>
              </c:layout>
              <c:showVal val="1"/>
            </c:dLbl>
            <c:dLbl>
              <c:idx val="1"/>
              <c:layout>
                <c:manualLayout>
                  <c:x val="0.18104445884491538"/>
                  <c:y val="3.4566462287867208E-3"/>
                </c:manualLayout>
              </c:layout>
              <c:showVal val="1"/>
            </c:dLbl>
            <c:dLbl>
              <c:idx val="2"/>
              <c:layout>
                <c:manualLayout>
                  <c:x val="0.13838606313502699"/>
                  <c:y val="3.4566462287867208E-3"/>
                </c:manualLayout>
              </c:layout>
              <c:showVal val="1"/>
            </c:dLbl>
            <c:dLbl>
              <c:idx val="3"/>
              <c:layout>
                <c:manualLayout>
                  <c:x val="9.2144520832307134E-2"/>
                  <c:y val="6.9119321088019882E-3"/>
                </c:manualLayout>
              </c:layout>
              <c:showVal val="1"/>
            </c:dLbl>
            <c:dLbl>
              <c:idx val="4"/>
              <c:layout>
                <c:manualLayout>
                  <c:x val="6.4559809521494399E-2"/>
                  <c:y val="8.1620926299573027E-7"/>
                </c:manualLayout>
              </c:layout>
              <c:showVal val="1"/>
            </c:dLbl>
            <c:dLbl>
              <c:idx val="5"/>
              <c:layout>
                <c:manualLayout>
                  <c:x val="5.2813709641824323E-2"/>
                  <c:y val="8.1620926299573027E-7"/>
                </c:manualLayout>
              </c:layout>
              <c:showVal val="1"/>
            </c:dLbl>
            <c:dLbl>
              <c:idx val="6"/>
              <c:layout>
                <c:manualLayout>
                  <c:x val="-8.9804527364432576E-2"/>
                  <c:y val="0"/>
                </c:manualLayout>
              </c:layout>
              <c:showVal val="1"/>
            </c:dLbl>
            <c:showVal val="1"/>
          </c:dLbls>
          <c:cat>
            <c:strRef>
              <c:f>'(Cullen 2010 Mobile)'!$N$4:$N$10</c:f>
              <c:strCache>
                <c:ptCount val="7"/>
                <c:pt idx="0">
                  <c:v>Royaume-Uni°° 2010-2007</c:v>
                </c:pt>
                <c:pt idx="1">
                  <c:v>Pays-Bas 2010-2006</c:v>
                </c:pt>
                <c:pt idx="2">
                  <c:v>Belgique 2010-2006</c:v>
                </c:pt>
                <c:pt idx="3">
                  <c:v>Danemark  2009-2008</c:v>
                </c:pt>
                <c:pt idx="4">
                  <c:v>France 2010-2008</c:v>
                </c:pt>
                <c:pt idx="5">
                  <c:v>Espagne°°° 2009-2008</c:v>
                </c:pt>
                <c:pt idx="6">
                  <c:v>Finlande*** 2009-2008</c:v>
                </c:pt>
              </c:strCache>
            </c:strRef>
          </c:cat>
          <c:val>
            <c:numRef>
              <c:f>'(Cullen 2010 Mobile)'!$M$4:$M$10</c:f>
              <c:numCache>
                <c:formatCode>0.00%</c:formatCode>
                <c:ptCount val="7"/>
                <c:pt idx="0">
                  <c:v>-4.2999999999999997E-2</c:v>
                </c:pt>
                <c:pt idx="1">
                  <c:v>-3.1999999999999987E-2</c:v>
                </c:pt>
                <c:pt idx="2">
                  <c:v>-2.1899999999999989E-2</c:v>
                </c:pt>
                <c:pt idx="3">
                  <c:v>-1.1499999999999996E-2</c:v>
                </c:pt>
                <c:pt idx="4">
                  <c:v>-3.1999999999999945E-3</c:v>
                </c:pt>
                <c:pt idx="5">
                  <c:v>-1.1666666666666908E-3</c:v>
                </c:pt>
                <c:pt idx="6">
                  <c:v>1.0949999999999988E-2</c:v>
                </c:pt>
              </c:numCache>
            </c:numRef>
          </c:val>
        </c:ser>
        <c:ser>
          <c:idx val="1"/>
          <c:order val="1"/>
          <c:spPr>
            <a:noFill/>
          </c:spPr>
          <c:val>
            <c:numRef>
              <c:f>'(Cullen 2010 Mobile)'!$P$4:$P$10</c:f>
              <c:numCache>
                <c:formatCode>0.00%</c:formatCode>
                <c:ptCount val="7"/>
                <c:pt idx="0">
                  <c:v>-7.0000000000000062E-3</c:v>
                </c:pt>
                <c:pt idx="1">
                  <c:v>-1.8000000000000016E-2</c:v>
                </c:pt>
                <c:pt idx="2">
                  <c:v>-2.8100000000000014E-2</c:v>
                </c:pt>
                <c:pt idx="3">
                  <c:v>-3.8500000000000006E-2</c:v>
                </c:pt>
                <c:pt idx="4">
                  <c:v>-4.6800000000000008E-2</c:v>
                </c:pt>
                <c:pt idx="5">
                  <c:v>-4.8833333333333312E-2</c:v>
                </c:pt>
              </c:numCache>
            </c:numRef>
          </c:val>
        </c:ser>
        <c:overlap val="100"/>
        <c:axId val="341030016"/>
        <c:axId val="341031552"/>
      </c:barChart>
      <c:catAx>
        <c:axId val="341030016"/>
        <c:scaling>
          <c:orientation val="minMax"/>
        </c:scaling>
        <c:axPos val="l"/>
        <c:numFmt formatCode="General" sourceLinked="1"/>
        <c:tickLblPos val="nextTo"/>
        <c:spPr>
          <a:noFill/>
        </c:spPr>
        <c:txPr>
          <a:bodyPr rot="0" vert="horz"/>
          <a:lstStyle/>
          <a:p>
            <a:pPr>
              <a:defRPr sz="1200" b="0" i="0" u="none" strike="noStrike" baseline="0">
                <a:solidFill>
                  <a:srgbClr val="000000"/>
                </a:solidFill>
                <a:latin typeface="Arial"/>
                <a:ea typeface="Arial"/>
                <a:cs typeface="Arial"/>
              </a:defRPr>
            </a:pPr>
            <a:endParaRPr lang="fr-FR"/>
          </a:p>
        </c:txPr>
        <c:crossAx val="341031552"/>
        <c:crossesAt val="-5"/>
        <c:lblAlgn val="ctr"/>
        <c:lblOffset val="0"/>
      </c:catAx>
      <c:valAx>
        <c:axId val="341031552"/>
        <c:scaling>
          <c:orientation val="minMax"/>
          <c:min val="-0.05"/>
        </c:scaling>
        <c:axPos val="b"/>
        <c:majorGridlines/>
        <c:numFmt formatCode="0%" sourceLinked="0"/>
        <c:tickLblPos val="nextTo"/>
        <c:txPr>
          <a:bodyPr rot="0" vert="horz"/>
          <a:lstStyle/>
          <a:p>
            <a:pPr>
              <a:defRPr sz="1200" b="0" i="0" u="none" strike="noStrike" baseline="0">
                <a:solidFill>
                  <a:srgbClr val="000000"/>
                </a:solidFill>
                <a:latin typeface="Arial"/>
                <a:ea typeface="Arial"/>
                <a:cs typeface="Arial"/>
              </a:defRPr>
            </a:pPr>
            <a:endParaRPr lang="fr-FR"/>
          </a:p>
        </c:txPr>
        <c:crossAx val="341030016"/>
        <c:crossesAt val="1"/>
        <c:crossBetween val="between"/>
        <c:majorUnit val="1.0000000000000005E-2"/>
      </c:valAx>
      <c:spPr>
        <a:noFill/>
      </c:spPr>
    </c:plotArea>
    <c:plotVisOnly val="1"/>
    <c:dispBlanksAs val="zero"/>
  </c:chart>
  <c:spPr>
    <a:ln>
      <a:noFill/>
    </a:ln>
  </c:spPr>
  <c:txPr>
    <a:bodyPr/>
    <a:lstStyle/>
    <a:p>
      <a:pPr>
        <a:defRPr sz="1000" b="0" i="0" u="none" strike="noStrike" baseline="0">
          <a:solidFill>
            <a:srgbClr val="000000"/>
          </a:solidFill>
          <a:latin typeface="Arial"/>
          <a:ea typeface="Arial"/>
          <a:cs typeface="Arial"/>
        </a:defRPr>
      </a:pPr>
      <a:endParaRPr lang="fr-FR"/>
    </a:p>
  </c:txPr>
  <c:printSettings>
    <c:headerFooter/>
    <c:pageMargins b="0.75000000000001188" l="0.70000000000000062" r="0.70000000000000062" t="0.750000000000011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FR"/>
  <c:chart>
    <c:plotArea>
      <c:layout/>
      <c:barChart>
        <c:barDir val="bar"/>
        <c:grouping val="stacked"/>
        <c:ser>
          <c:idx val="0"/>
          <c:order val="0"/>
          <c:spPr>
            <a:solidFill>
              <a:schemeClr val="bg2">
                <a:lumMod val="90000"/>
              </a:schemeClr>
            </a:solidFill>
          </c:spPr>
          <c:dPt>
            <c:idx val="3"/>
            <c:spPr>
              <a:solidFill>
                <a:schemeClr val="bg2"/>
              </a:solidFill>
            </c:spPr>
          </c:dPt>
          <c:dPt>
            <c:idx val="7"/>
            <c:spPr>
              <a:solidFill>
                <a:srgbClr val="C00000"/>
              </a:solidFill>
            </c:spPr>
          </c:dPt>
          <c:dPt>
            <c:idx val="10"/>
            <c:spPr>
              <a:solidFill>
                <a:schemeClr val="accent3">
                  <a:lumMod val="50000"/>
                </a:schemeClr>
              </a:solidFill>
            </c:spPr>
          </c:dPt>
          <c:dLbls>
            <c:dLbl>
              <c:idx val="6"/>
              <c:spPr/>
              <c:txPr>
                <a:bodyPr/>
                <a:lstStyle/>
                <a:p>
                  <a:pPr>
                    <a:defRPr sz="1000">
                      <a:solidFill>
                        <a:sysClr val="windowText" lastClr="000000"/>
                      </a:solidFill>
                    </a:defRPr>
                  </a:pPr>
                  <a:endParaRPr lang="fr-FR"/>
                </a:p>
              </c:txPr>
            </c:dLbl>
            <c:dLbl>
              <c:idx val="7"/>
              <c:spPr/>
              <c:txPr>
                <a:bodyPr/>
                <a:lstStyle/>
                <a:p>
                  <a:pPr>
                    <a:defRPr sz="1200">
                      <a:solidFill>
                        <a:schemeClr val="bg1"/>
                      </a:solidFill>
                    </a:defRPr>
                  </a:pPr>
                  <a:endParaRPr lang="fr-FR"/>
                </a:p>
              </c:txPr>
            </c:dLbl>
            <c:dLbl>
              <c:idx val="10"/>
              <c:spPr/>
              <c:txPr>
                <a:bodyPr/>
                <a:lstStyle/>
                <a:p>
                  <a:pPr>
                    <a:defRPr sz="1200">
                      <a:solidFill>
                        <a:schemeClr val="bg1"/>
                      </a:solidFill>
                    </a:defRPr>
                  </a:pPr>
                  <a:endParaRPr lang="fr-FR"/>
                </a:p>
              </c:txPr>
            </c:dLbl>
            <c:showVal val="1"/>
          </c:dLbls>
          <c:cat>
            <c:strRef>
              <c:f>'WACC BIPT &amp; Cullen 2013'!$BA$55:$BA$72</c:f>
              <c:strCache>
                <c:ptCount val="18"/>
                <c:pt idx="0">
                  <c:v>DK</c:v>
                </c:pt>
                <c:pt idx="1">
                  <c:v>CH</c:v>
                </c:pt>
                <c:pt idx="2">
                  <c:v>NL (Brattle)</c:v>
                </c:pt>
                <c:pt idx="3">
                  <c:v>NL (Nera)</c:v>
                </c:pt>
                <c:pt idx="4">
                  <c:v>DE</c:v>
                </c:pt>
                <c:pt idx="5">
                  <c:v>FI</c:v>
                </c:pt>
                <c:pt idx="6">
                  <c:v>SE</c:v>
                </c:pt>
                <c:pt idx="7">
                  <c:v>BIPT 2013</c:v>
                </c:pt>
                <c:pt idx="8">
                  <c:v>UK</c:v>
                </c:pt>
                <c:pt idx="9">
                  <c:v>FR</c:v>
                </c:pt>
                <c:pt idx="10">
                  <c:v>BIPT 2010</c:v>
                </c:pt>
                <c:pt idx="11">
                  <c:v>NO</c:v>
                </c:pt>
                <c:pt idx="12">
                  <c:v>IE</c:v>
                </c:pt>
                <c:pt idx="13">
                  <c:v>GR</c:v>
                </c:pt>
                <c:pt idx="14">
                  <c:v>IT</c:v>
                </c:pt>
                <c:pt idx="15">
                  <c:v>ES</c:v>
                </c:pt>
                <c:pt idx="16">
                  <c:v>AT</c:v>
                </c:pt>
                <c:pt idx="17">
                  <c:v>PT</c:v>
                </c:pt>
              </c:strCache>
            </c:strRef>
          </c:cat>
          <c:val>
            <c:numRef>
              <c:f>'WACC BIPT &amp; Cullen 2013'!$BD$55:$BD$72</c:f>
              <c:numCache>
                <c:formatCode>0.0%</c:formatCode>
                <c:ptCount val="18"/>
                <c:pt idx="0">
                  <c:v>5.3999999999999999E-2</c:v>
                </c:pt>
                <c:pt idx="1">
                  <c:v>5.3999999999999999E-2</c:v>
                </c:pt>
                <c:pt idx="2">
                  <c:v>6.2E-2</c:v>
                </c:pt>
                <c:pt idx="3">
                  <c:v>6.9917999999999925E-2</c:v>
                </c:pt>
                <c:pt idx="4">
                  <c:v>7.0699999999999999E-2</c:v>
                </c:pt>
                <c:pt idx="5" formatCode="0.00%">
                  <c:v>6.0999999999999999E-2</c:v>
                </c:pt>
                <c:pt idx="6">
                  <c:v>7.4999999999999997E-2</c:v>
                </c:pt>
                <c:pt idx="7">
                  <c:v>8.1555337818754861E-2</c:v>
                </c:pt>
                <c:pt idx="8">
                  <c:v>8.7999999999999995E-2</c:v>
                </c:pt>
                <c:pt idx="9">
                  <c:v>9.5000000000000001E-2</c:v>
                </c:pt>
                <c:pt idx="10">
                  <c:v>9.8924829571277073E-2</c:v>
                </c:pt>
                <c:pt idx="11">
                  <c:v>0.10199999999999999</c:v>
                </c:pt>
                <c:pt idx="12">
                  <c:v>0.1021</c:v>
                </c:pt>
                <c:pt idx="13">
                  <c:v>0.104</c:v>
                </c:pt>
                <c:pt idx="14">
                  <c:v>0.104</c:v>
                </c:pt>
                <c:pt idx="15">
                  <c:v>0.1048</c:v>
                </c:pt>
                <c:pt idx="16">
                  <c:v>0.1053</c:v>
                </c:pt>
                <c:pt idx="17">
                  <c:v>0.11700000000000001</c:v>
                </c:pt>
              </c:numCache>
            </c:numRef>
          </c:val>
        </c:ser>
        <c:ser>
          <c:idx val="1"/>
          <c:order val="1"/>
          <c:spPr>
            <a:solidFill>
              <a:schemeClr val="bg2"/>
            </a:solidFill>
          </c:spPr>
          <c:dLbls>
            <c:showVal val="1"/>
          </c:dLbls>
          <c:cat>
            <c:strRef>
              <c:f>'WACC BIPT &amp; Cullen 2013'!$BA$55:$BA$72</c:f>
              <c:strCache>
                <c:ptCount val="18"/>
                <c:pt idx="0">
                  <c:v>DK</c:v>
                </c:pt>
                <c:pt idx="1">
                  <c:v>CH</c:v>
                </c:pt>
                <c:pt idx="2">
                  <c:v>NL (Brattle)</c:v>
                </c:pt>
                <c:pt idx="3">
                  <c:v>NL (Nera)</c:v>
                </c:pt>
                <c:pt idx="4">
                  <c:v>DE</c:v>
                </c:pt>
                <c:pt idx="5">
                  <c:v>FI</c:v>
                </c:pt>
                <c:pt idx="6">
                  <c:v>SE</c:v>
                </c:pt>
                <c:pt idx="7">
                  <c:v>BIPT 2013</c:v>
                </c:pt>
                <c:pt idx="8">
                  <c:v>UK</c:v>
                </c:pt>
                <c:pt idx="9">
                  <c:v>FR</c:v>
                </c:pt>
                <c:pt idx="10">
                  <c:v>BIPT 2010</c:v>
                </c:pt>
                <c:pt idx="11">
                  <c:v>NO</c:v>
                </c:pt>
                <c:pt idx="12">
                  <c:v>IE</c:v>
                </c:pt>
                <c:pt idx="13">
                  <c:v>GR</c:v>
                </c:pt>
                <c:pt idx="14">
                  <c:v>IT</c:v>
                </c:pt>
                <c:pt idx="15">
                  <c:v>ES</c:v>
                </c:pt>
                <c:pt idx="16">
                  <c:v>AT</c:v>
                </c:pt>
                <c:pt idx="17">
                  <c:v>PT</c:v>
                </c:pt>
              </c:strCache>
            </c:strRef>
          </c:cat>
          <c:val>
            <c:numRef>
              <c:f>'WACC BIPT &amp; Cullen 2013'!$BE$55:$BE$72</c:f>
              <c:numCache>
                <c:formatCode>[$-809]mmmm\ yyyy;@</c:formatCode>
                <c:ptCount val="18"/>
                <c:pt idx="5" formatCode="0.0%">
                  <c:v>1.7999999999999999E-2</c:v>
                </c:pt>
              </c:numCache>
            </c:numRef>
          </c:val>
        </c:ser>
        <c:gapWidth val="72"/>
        <c:overlap val="100"/>
        <c:axId val="437081984"/>
        <c:axId val="437224576"/>
      </c:barChart>
      <c:catAx>
        <c:axId val="437081984"/>
        <c:scaling>
          <c:orientation val="minMax"/>
        </c:scaling>
        <c:axPos val="l"/>
        <c:tickLblPos val="nextTo"/>
        <c:txPr>
          <a:bodyPr/>
          <a:lstStyle/>
          <a:p>
            <a:pPr>
              <a:defRPr sz="1200"/>
            </a:pPr>
            <a:endParaRPr lang="fr-FR"/>
          </a:p>
        </c:txPr>
        <c:crossAx val="437224576"/>
        <c:crosses val="autoZero"/>
        <c:auto val="1"/>
        <c:lblAlgn val="ctr"/>
        <c:lblOffset val="100"/>
      </c:catAx>
      <c:valAx>
        <c:axId val="437224576"/>
        <c:scaling>
          <c:orientation val="minMax"/>
          <c:max val="0.12000000000000002"/>
        </c:scaling>
        <c:axPos val="b"/>
        <c:majorGridlines>
          <c:spPr>
            <a:ln>
              <a:solidFill>
                <a:schemeClr val="bg1">
                  <a:lumMod val="50000"/>
                </a:schemeClr>
              </a:solidFill>
              <a:prstDash val="dash"/>
            </a:ln>
          </c:spPr>
        </c:majorGridlines>
        <c:numFmt formatCode="0%" sourceLinked="0"/>
        <c:tickLblPos val="nextTo"/>
        <c:txPr>
          <a:bodyPr/>
          <a:lstStyle/>
          <a:p>
            <a:pPr>
              <a:defRPr sz="1200"/>
            </a:pPr>
            <a:endParaRPr lang="fr-FR"/>
          </a:p>
        </c:txPr>
        <c:crossAx val="437081984"/>
        <c:crosses val="autoZero"/>
        <c:crossBetween val="between"/>
        <c:majorUnit val="1.0000000000000005E-2"/>
      </c:valAx>
    </c:plotArea>
    <c:plotVisOnly val="1"/>
  </c:chart>
  <c:spPr>
    <a:ln>
      <a:noFill/>
    </a:ln>
  </c:spPr>
  <c:txPr>
    <a:bodyPr/>
    <a:lstStyle/>
    <a:p>
      <a:pPr>
        <a:defRPr>
          <a:latin typeface="Arial" pitchFamily="34" charset="0"/>
          <a:cs typeface="Arial" pitchFamily="34" charset="0"/>
        </a:defRPr>
      </a:pPr>
      <a:endParaRPr lang="fr-FR"/>
    </a:p>
  </c:txPr>
  <c:printSettings>
    <c:headerFooter/>
    <c:pageMargins b="0.75000000000000844" l="0.70000000000000062" r="0.70000000000000062" t="0.75000000000000844"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0.16553829605761028"/>
          <c:y val="3.366501932184144E-2"/>
          <c:w val="0.78266333514925757"/>
          <c:h val="0.88202447015549945"/>
        </c:manualLayout>
      </c:layout>
      <c:barChart>
        <c:barDir val="bar"/>
        <c:grouping val="stacked"/>
        <c:ser>
          <c:idx val="0"/>
          <c:order val="0"/>
          <c:spPr>
            <a:solidFill>
              <a:schemeClr val="bg2">
                <a:lumMod val="90000"/>
              </a:schemeClr>
            </a:solidFill>
          </c:spPr>
          <c:dPt>
            <c:idx val="4"/>
            <c:spPr>
              <a:solidFill>
                <a:srgbClr val="C00000"/>
              </a:solidFill>
            </c:spPr>
          </c:dPt>
          <c:dPt>
            <c:idx val="8"/>
            <c:spPr>
              <a:solidFill>
                <a:schemeClr val="accent3">
                  <a:lumMod val="50000"/>
                </a:schemeClr>
              </a:solidFill>
            </c:spPr>
          </c:dPt>
          <c:dLbls>
            <c:dLbl>
              <c:idx val="4"/>
              <c:spPr/>
              <c:txPr>
                <a:bodyPr/>
                <a:lstStyle/>
                <a:p>
                  <a:pPr>
                    <a:defRPr sz="1200">
                      <a:solidFill>
                        <a:schemeClr val="bg1"/>
                      </a:solidFill>
                    </a:defRPr>
                  </a:pPr>
                  <a:endParaRPr lang="fr-FR"/>
                </a:p>
              </c:txPr>
            </c:dLbl>
            <c:dLbl>
              <c:idx val="6"/>
              <c:spPr/>
              <c:txPr>
                <a:bodyPr/>
                <a:lstStyle/>
                <a:p>
                  <a:pPr>
                    <a:defRPr sz="1000">
                      <a:solidFill>
                        <a:sysClr val="windowText" lastClr="000000"/>
                      </a:solidFill>
                    </a:defRPr>
                  </a:pPr>
                  <a:endParaRPr lang="fr-FR"/>
                </a:p>
              </c:txPr>
            </c:dLbl>
            <c:dLbl>
              <c:idx val="8"/>
              <c:spPr/>
              <c:txPr>
                <a:bodyPr/>
                <a:lstStyle/>
                <a:p>
                  <a:pPr>
                    <a:defRPr sz="1200">
                      <a:solidFill>
                        <a:schemeClr val="bg1"/>
                      </a:solidFill>
                    </a:defRPr>
                  </a:pPr>
                  <a:endParaRPr lang="fr-FR"/>
                </a:p>
              </c:txPr>
            </c:dLbl>
            <c:dLbl>
              <c:idx val="10"/>
              <c:spPr/>
              <c:txPr>
                <a:bodyPr/>
                <a:lstStyle/>
                <a:p>
                  <a:pPr>
                    <a:defRPr sz="1000">
                      <a:solidFill>
                        <a:sysClr val="windowText" lastClr="000000"/>
                      </a:solidFill>
                    </a:defRPr>
                  </a:pPr>
                  <a:endParaRPr lang="fr-FR"/>
                </a:p>
              </c:txPr>
            </c:dLbl>
            <c:showVal val="1"/>
          </c:dLbls>
          <c:cat>
            <c:strRef>
              <c:f>'WACC BIPT &amp; Cullen 2013'!$BQ$55:$BQ$69</c:f>
              <c:strCache>
                <c:ptCount val="15"/>
                <c:pt idx="0">
                  <c:v>DK</c:v>
                </c:pt>
                <c:pt idx="1">
                  <c:v>NL (Brattle)</c:v>
                </c:pt>
                <c:pt idx="2">
                  <c:v>DE</c:v>
                </c:pt>
                <c:pt idx="3">
                  <c:v>FI</c:v>
                </c:pt>
                <c:pt idx="4">
                  <c:v>BIPT 2013</c:v>
                </c:pt>
                <c:pt idx="5">
                  <c:v>UK</c:v>
                </c:pt>
                <c:pt idx="6">
                  <c:v>SE</c:v>
                </c:pt>
                <c:pt idx="7">
                  <c:v>ES</c:v>
                </c:pt>
                <c:pt idx="8">
                  <c:v>BIPT 2010</c:v>
                </c:pt>
                <c:pt idx="9">
                  <c:v>FR</c:v>
                </c:pt>
                <c:pt idx="10">
                  <c:v>IT</c:v>
                </c:pt>
                <c:pt idx="11">
                  <c:v>PT</c:v>
                </c:pt>
                <c:pt idx="12">
                  <c:v>AT</c:v>
                </c:pt>
                <c:pt idx="13">
                  <c:v>NO</c:v>
                </c:pt>
                <c:pt idx="14">
                  <c:v>GR</c:v>
                </c:pt>
              </c:strCache>
            </c:strRef>
          </c:cat>
          <c:val>
            <c:numRef>
              <c:f>'WACC BIPT &amp; Cullen 2013'!$BT$55:$BT$69</c:f>
              <c:numCache>
                <c:formatCode>0.0%</c:formatCode>
                <c:ptCount val="15"/>
                <c:pt idx="0">
                  <c:v>6.2899999999999998E-2</c:v>
                </c:pt>
                <c:pt idx="1">
                  <c:v>6.7000000000000004E-2</c:v>
                </c:pt>
                <c:pt idx="2">
                  <c:v>7.0699999999999999E-2</c:v>
                </c:pt>
                <c:pt idx="3">
                  <c:v>6.9000000000000006E-2</c:v>
                </c:pt>
                <c:pt idx="4">
                  <c:v>8.7834696185358122E-2</c:v>
                </c:pt>
                <c:pt idx="5">
                  <c:v>8.8999999999999996E-2</c:v>
                </c:pt>
                <c:pt idx="6">
                  <c:v>9.4E-2</c:v>
                </c:pt>
                <c:pt idx="7">
                  <c:v>9.3299999999999994E-2</c:v>
                </c:pt>
                <c:pt idx="8">
                  <c:v>0.10294103166186941</c:v>
                </c:pt>
                <c:pt idx="9">
                  <c:v>0.104</c:v>
                </c:pt>
                <c:pt idx="10">
                  <c:v>0.104</c:v>
                </c:pt>
                <c:pt idx="11">
                  <c:v>0.111</c:v>
                </c:pt>
                <c:pt idx="12">
                  <c:v>0.1137</c:v>
                </c:pt>
                <c:pt idx="13">
                  <c:v>0.11799999999999999</c:v>
                </c:pt>
                <c:pt idx="14">
                  <c:v>0.1429</c:v>
                </c:pt>
              </c:numCache>
            </c:numRef>
          </c:val>
        </c:ser>
        <c:ser>
          <c:idx val="1"/>
          <c:order val="1"/>
          <c:spPr>
            <a:solidFill>
              <a:schemeClr val="bg2"/>
            </a:solidFill>
          </c:spPr>
          <c:dLbls>
            <c:showVal val="1"/>
          </c:dLbls>
          <c:cat>
            <c:strRef>
              <c:f>'WACC BIPT &amp; Cullen 2013'!$BQ$55:$BQ$69</c:f>
              <c:strCache>
                <c:ptCount val="15"/>
                <c:pt idx="0">
                  <c:v>DK</c:v>
                </c:pt>
                <c:pt idx="1">
                  <c:v>NL (Brattle)</c:v>
                </c:pt>
                <c:pt idx="2">
                  <c:v>DE</c:v>
                </c:pt>
                <c:pt idx="3">
                  <c:v>FI</c:v>
                </c:pt>
                <c:pt idx="4">
                  <c:v>BIPT 2013</c:v>
                </c:pt>
                <c:pt idx="5">
                  <c:v>UK</c:v>
                </c:pt>
                <c:pt idx="6">
                  <c:v>SE</c:v>
                </c:pt>
                <c:pt idx="7">
                  <c:v>ES</c:v>
                </c:pt>
                <c:pt idx="8">
                  <c:v>BIPT 2010</c:v>
                </c:pt>
                <c:pt idx="9">
                  <c:v>FR</c:v>
                </c:pt>
                <c:pt idx="10">
                  <c:v>IT</c:v>
                </c:pt>
                <c:pt idx="11">
                  <c:v>PT</c:v>
                </c:pt>
                <c:pt idx="12">
                  <c:v>AT</c:v>
                </c:pt>
                <c:pt idx="13">
                  <c:v>NO</c:v>
                </c:pt>
                <c:pt idx="14">
                  <c:v>GR</c:v>
                </c:pt>
              </c:strCache>
            </c:strRef>
          </c:cat>
          <c:val>
            <c:numRef>
              <c:f>'WACC BIPT &amp; Cullen 2013'!$BU$55:$BU$69</c:f>
              <c:numCache>
                <c:formatCode>0.0%</c:formatCode>
                <c:ptCount val="15"/>
                <c:pt idx="3">
                  <c:v>1.4E-2</c:v>
                </c:pt>
                <c:pt idx="7">
                  <c:v>1.150000000000001E-2</c:v>
                </c:pt>
              </c:numCache>
            </c:numRef>
          </c:val>
        </c:ser>
        <c:gapWidth val="72"/>
        <c:overlap val="100"/>
        <c:axId val="438352128"/>
        <c:axId val="438354304"/>
      </c:barChart>
      <c:catAx>
        <c:axId val="438352128"/>
        <c:scaling>
          <c:orientation val="minMax"/>
        </c:scaling>
        <c:axPos val="l"/>
        <c:tickLblPos val="nextTo"/>
        <c:txPr>
          <a:bodyPr/>
          <a:lstStyle/>
          <a:p>
            <a:pPr>
              <a:defRPr sz="1200"/>
            </a:pPr>
            <a:endParaRPr lang="fr-FR"/>
          </a:p>
        </c:txPr>
        <c:crossAx val="438354304"/>
        <c:crosses val="autoZero"/>
        <c:auto val="1"/>
        <c:lblAlgn val="ctr"/>
        <c:lblOffset val="100"/>
      </c:catAx>
      <c:valAx>
        <c:axId val="438354304"/>
        <c:scaling>
          <c:orientation val="minMax"/>
          <c:max val="0.15000000000000024"/>
          <c:min val="0"/>
        </c:scaling>
        <c:axPos val="b"/>
        <c:majorGridlines>
          <c:spPr>
            <a:ln>
              <a:solidFill>
                <a:schemeClr val="bg1">
                  <a:lumMod val="50000"/>
                </a:schemeClr>
              </a:solidFill>
              <a:prstDash val="dash"/>
            </a:ln>
          </c:spPr>
        </c:majorGridlines>
        <c:numFmt formatCode="0%" sourceLinked="0"/>
        <c:minorTickMark val="cross"/>
        <c:tickLblPos val="nextTo"/>
        <c:txPr>
          <a:bodyPr/>
          <a:lstStyle/>
          <a:p>
            <a:pPr>
              <a:defRPr sz="1200"/>
            </a:pPr>
            <a:endParaRPr lang="fr-FR"/>
          </a:p>
        </c:txPr>
        <c:crossAx val="438352128"/>
        <c:crosses val="autoZero"/>
        <c:crossBetween val="between"/>
        <c:majorUnit val="2.0000000000000011E-2"/>
        <c:minorUnit val="1.0000000000000005E-2"/>
      </c:valAx>
    </c:plotArea>
    <c:plotVisOnly val="1"/>
  </c:chart>
  <c:spPr>
    <a:noFill/>
    <a:ln>
      <a:noFill/>
    </a:ln>
  </c:spPr>
  <c:txPr>
    <a:bodyPr/>
    <a:lstStyle/>
    <a:p>
      <a:pPr>
        <a:defRPr>
          <a:latin typeface="Arial" pitchFamily="34" charset="0"/>
          <a:cs typeface="Arial" pitchFamily="34" charset="0"/>
        </a:defRPr>
      </a:pPr>
      <a:endParaRPr lang="fr-FR"/>
    </a:p>
  </c:txPr>
  <c:printSettings>
    <c:headerFooter/>
    <c:pageMargins b="0.75000000000000866" l="0.70000000000000062" r="0.70000000000000062" t="0.75000000000000866"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fr-FR"/>
  <c:chart>
    <c:plotArea>
      <c:layout/>
      <c:barChart>
        <c:barDir val="bar"/>
        <c:grouping val="stacked"/>
        <c:ser>
          <c:idx val="0"/>
          <c:order val="0"/>
          <c:spPr>
            <a:solidFill>
              <a:schemeClr val="bg2">
                <a:lumMod val="90000"/>
              </a:schemeClr>
            </a:solidFill>
          </c:spPr>
          <c:dPt>
            <c:idx val="5"/>
            <c:spPr>
              <a:solidFill>
                <a:schemeClr val="accent3">
                  <a:lumMod val="50000"/>
                </a:schemeClr>
              </a:solidFill>
            </c:spPr>
          </c:dPt>
          <c:dPt>
            <c:idx val="8"/>
            <c:spPr>
              <a:solidFill>
                <a:srgbClr val="C00000"/>
              </a:solidFill>
            </c:spPr>
          </c:dPt>
          <c:dLbls>
            <c:dLbl>
              <c:idx val="0"/>
              <c:layout>
                <c:manualLayout>
                  <c:x val="-2.955664451405211E-2"/>
                  <c:y val="-3.1914888270247071E-3"/>
                </c:manualLayout>
              </c:layout>
              <c:showVal val="1"/>
            </c:dLbl>
            <c:dLbl>
              <c:idx val="1"/>
              <c:layout>
                <c:manualLayout>
                  <c:x val="-2.7093590804547801E-2"/>
                  <c:y val="-3.1914888270248238E-3"/>
                </c:manualLayout>
              </c:layout>
              <c:showVal val="1"/>
            </c:dLbl>
            <c:dLbl>
              <c:idx val="2"/>
              <c:layout>
                <c:manualLayout>
                  <c:x val="1.0775694198970639E-2"/>
                  <c:y val="2.890174068129441E-3"/>
                </c:manualLayout>
              </c:layout>
              <c:showVal val="1"/>
            </c:dLbl>
            <c:dLbl>
              <c:idx val="3"/>
              <c:layout>
                <c:manualLayout>
                  <c:x val="8.6205214194477048E-3"/>
                  <c:y val="2.890174068129441E-3"/>
                </c:manualLayout>
              </c:layout>
              <c:showVal val="1"/>
            </c:dLbl>
            <c:dLbl>
              <c:idx val="4"/>
              <c:layout>
                <c:manualLayout>
                  <c:x val="6.4655183385688196E-3"/>
                  <c:y val="2.890174068129441E-3"/>
                </c:manualLayout>
              </c:layout>
              <c:showVal val="1"/>
            </c:dLbl>
            <c:dLbl>
              <c:idx val="5"/>
              <c:layout>
                <c:manualLayout>
                  <c:x val="8.6206911180917584E-3"/>
                  <c:y val="0"/>
                </c:manualLayout>
              </c:layout>
              <c:spPr/>
              <c:txPr>
                <a:bodyPr/>
                <a:lstStyle/>
                <a:p>
                  <a:pPr>
                    <a:defRPr sz="1200">
                      <a:solidFill>
                        <a:schemeClr val="bg1"/>
                      </a:solidFill>
                    </a:defRPr>
                  </a:pPr>
                  <a:endParaRPr lang="fr-FR"/>
                </a:p>
              </c:txPr>
              <c:showVal val="1"/>
            </c:dLbl>
            <c:dLbl>
              <c:idx val="6"/>
              <c:layout>
                <c:manualLayout>
                  <c:x val="1.5086209456660627E-2"/>
                  <c:y val="-2.890174068129441E-3"/>
                </c:manualLayout>
              </c:layout>
              <c:spPr/>
              <c:txPr>
                <a:bodyPr/>
                <a:lstStyle/>
                <a:p>
                  <a:pPr>
                    <a:defRPr sz="1000" b="0">
                      <a:solidFill>
                        <a:sysClr val="windowText" lastClr="000000"/>
                      </a:solidFill>
                    </a:defRPr>
                  </a:pPr>
                  <a:endParaRPr lang="fr-FR"/>
                </a:p>
              </c:txPr>
              <c:showVal val="1"/>
            </c:dLbl>
            <c:dLbl>
              <c:idx val="8"/>
              <c:spPr/>
              <c:txPr>
                <a:bodyPr/>
                <a:lstStyle/>
                <a:p>
                  <a:pPr>
                    <a:defRPr sz="1200">
                      <a:solidFill>
                        <a:schemeClr val="bg1"/>
                      </a:solidFill>
                    </a:defRPr>
                  </a:pPr>
                  <a:endParaRPr lang="fr-FR"/>
                </a:p>
              </c:txPr>
            </c:dLbl>
            <c:txPr>
              <a:bodyPr/>
              <a:lstStyle/>
              <a:p>
                <a:pPr>
                  <a:defRPr sz="1000">
                    <a:solidFill>
                      <a:sysClr val="windowText" lastClr="000000"/>
                    </a:solidFill>
                  </a:defRPr>
                </a:pPr>
                <a:endParaRPr lang="fr-FR"/>
              </a:p>
            </c:txPr>
            <c:showVal val="1"/>
          </c:dLbls>
          <c:cat>
            <c:strRef>
              <c:f>'WACC BIPT &amp; Cullen 2013'!$CG$55:$CG$68</c:f>
              <c:strCache>
                <c:ptCount val="14"/>
                <c:pt idx="0">
                  <c:v>PT</c:v>
                </c:pt>
                <c:pt idx="1">
                  <c:v>ES</c:v>
                </c:pt>
                <c:pt idx="2">
                  <c:v>DE</c:v>
                </c:pt>
                <c:pt idx="3">
                  <c:v>IT</c:v>
                </c:pt>
                <c:pt idx="4">
                  <c:v>UK</c:v>
                </c:pt>
                <c:pt idx="5">
                  <c:v>BIPT 2010</c:v>
                </c:pt>
                <c:pt idx="6">
                  <c:v>NL (Brattle)</c:v>
                </c:pt>
                <c:pt idx="7">
                  <c:v>FI</c:v>
                </c:pt>
                <c:pt idx="8">
                  <c:v>BIPT 2013</c:v>
                </c:pt>
                <c:pt idx="9">
                  <c:v>SE</c:v>
                </c:pt>
                <c:pt idx="10">
                  <c:v>AT</c:v>
                </c:pt>
                <c:pt idx="11">
                  <c:v>DK</c:v>
                </c:pt>
                <c:pt idx="12">
                  <c:v>FR</c:v>
                </c:pt>
                <c:pt idx="13">
                  <c:v>NO</c:v>
                </c:pt>
              </c:strCache>
            </c:strRef>
          </c:cat>
          <c:val>
            <c:numRef>
              <c:f>'WACC BIPT &amp; Cullen 2013'!$CJ$55:$CJ$68</c:f>
              <c:numCache>
                <c:formatCode>0.0%</c:formatCode>
                <c:ptCount val="14"/>
                <c:pt idx="0">
                  <c:v>-6.0000000000000053E-3</c:v>
                </c:pt>
                <c:pt idx="1">
                  <c:v>-5.7500000000000051E-3</c:v>
                </c:pt>
                <c:pt idx="2">
                  <c:v>0</c:v>
                </c:pt>
                <c:pt idx="3">
                  <c:v>0</c:v>
                </c:pt>
                <c:pt idx="4">
                  <c:v>1.0000000000000009E-3</c:v>
                </c:pt>
                <c:pt idx="5">
                  <c:v>4.0162020905923357E-3</c:v>
                </c:pt>
                <c:pt idx="6">
                  <c:v>5.0000000000000044E-3</c:v>
                </c:pt>
                <c:pt idx="7">
                  <c:v>6.0000000000000192E-3</c:v>
                </c:pt>
                <c:pt idx="8">
                  <c:v>6.2793583666032604E-3</c:v>
                </c:pt>
                <c:pt idx="9">
                  <c:v>6.0000000000000053E-3</c:v>
                </c:pt>
                <c:pt idx="10">
                  <c:v>8.3999999999999908E-3</c:v>
                </c:pt>
                <c:pt idx="11">
                  <c:v>8.8999999999999982E-3</c:v>
                </c:pt>
                <c:pt idx="12">
                  <c:v>8.9999999999999941E-3</c:v>
                </c:pt>
                <c:pt idx="13">
                  <c:v>1.6E-2</c:v>
                </c:pt>
              </c:numCache>
            </c:numRef>
          </c:val>
        </c:ser>
        <c:gapWidth val="72"/>
        <c:overlap val="100"/>
        <c:axId val="438818304"/>
        <c:axId val="438820224"/>
      </c:barChart>
      <c:catAx>
        <c:axId val="438818304"/>
        <c:scaling>
          <c:orientation val="minMax"/>
        </c:scaling>
        <c:axPos val="l"/>
        <c:tickLblPos val="nextTo"/>
        <c:txPr>
          <a:bodyPr/>
          <a:lstStyle/>
          <a:p>
            <a:pPr>
              <a:defRPr sz="1200"/>
            </a:pPr>
            <a:endParaRPr lang="fr-FR"/>
          </a:p>
        </c:txPr>
        <c:crossAx val="438820224"/>
        <c:crosses val="autoZero"/>
        <c:auto val="1"/>
        <c:lblAlgn val="ctr"/>
        <c:lblOffset val="100"/>
      </c:catAx>
      <c:valAx>
        <c:axId val="438820224"/>
        <c:scaling>
          <c:orientation val="minMax"/>
        </c:scaling>
        <c:axPos val="b"/>
        <c:majorGridlines>
          <c:spPr>
            <a:ln>
              <a:solidFill>
                <a:schemeClr val="bg1">
                  <a:lumMod val="50000"/>
                </a:schemeClr>
              </a:solidFill>
              <a:prstDash val="dash"/>
            </a:ln>
          </c:spPr>
        </c:majorGridlines>
        <c:numFmt formatCode="0.0%" sourceLinked="0"/>
        <c:tickLblPos val="nextTo"/>
        <c:txPr>
          <a:bodyPr/>
          <a:lstStyle/>
          <a:p>
            <a:pPr>
              <a:defRPr sz="1200"/>
            </a:pPr>
            <a:endParaRPr lang="fr-FR"/>
          </a:p>
        </c:txPr>
        <c:crossAx val="438818304"/>
        <c:crosses val="autoZero"/>
        <c:crossBetween val="between"/>
      </c:valAx>
    </c:plotArea>
    <c:plotVisOnly val="1"/>
  </c:chart>
  <c:spPr>
    <a:ln>
      <a:noFill/>
    </a:ln>
  </c:spPr>
  <c:txPr>
    <a:bodyPr/>
    <a:lstStyle/>
    <a:p>
      <a:pPr>
        <a:defRPr>
          <a:latin typeface="Arial" pitchFamily="34" charset="0"/>
          <a:cs typeface="Arial" pitchFamily="34" charset="0"/>
        </a:defRPr>
      </a:pPr>
      <a:endParaRPr lang="fr-FR"/>
    </a:p>
  </c:txPr>
  <c:printSettings>
    <c:headerFooter/>
    <c:pageMargins b="0.75000000000000888" l="0.70000000000000062" r="0.70000000000000062" t="0.75000000000000888"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fr-FR"/>
  <c:chart>
    <c:plotArea>
      <c:layout/>
      <c:scatterChart>
        <c:scatterStyle val="lineMarker"/>
        <c:ser>
          <c:idx val="0"/>
          <c:order val="0"/>
          <c:spPr>
            <a:ln w="28575">
              <a:noFill/>
            </a:ln>
          </c:spPr>
          <c:marker>
            <c:symbol val="circle"/>
            <c:size val="9"/>
            <c:spPr>
              <a:solidFill>
                <a:srgbClr val="FFC000">
                  <a:alpha val="50196"/>
                </a:srgbClr>
              </a:solidFill>
              <a:ln>
                <a:noFill/>
              </a:ln>
            </c:spPr>
          </c:marker>
          <c:dPt>
            <c:idx val="6"/>
            <c:marker>
              <c:spPr>
                <a:solidFill>
                  <a:srgbClr val="FFC000">
                    <a:alpha val="50000"/>
                  </a:srgbClr>
                </a:solidFill>
                <a:ln>
                  <a:noFill/>
                </a:ln>
              </c:spPr>
            </c:marker>
          </c:dPt>
          <c:dPt>
            <c:idx val="7"/>
            <c:marker>
              <c:symbol val="circle"/>
              <c:size val="11"/>
              <c:spPr>
                <a:solidFill>
                  <a:srgbClr val="C00000">
                    <a:alpha val="50000"/>
                  </a:srgbClr>
                </a:solidFill>
                <a:ln>
                  <a:noFill/>
                </a:ln>
              </c:spPr>
            </c:marker>
          </c:dPt>
          <c:dPt>
            <c:idx val="10"/>
            <c:marker>
              <c:symbol val="circle"/>
              <c:size val="11"/>
              <c:spPr>
                <a:solidFill>
                  <a:schemeClr val="accent3">
                    <a:lumMod val="50000"/>
                    <a:alpha val="50196"/>
                  </a:schemeClr>
                </a:solidFill>
                <a:ln>
                  <a:noFill/>
                </a:ln>
              </c:spPr>
            </c:marker>
          </c:dPt>
          <c:dLbls>
            <c:dLbl>
              <c:idx val="0"/>
              <c:tx>
                <c:strRef>
                  <c:f>'WACC BIPT &amp; Cullen 2013'!$BA$55</c:f>
                  <c:strCache>
                    <c:ptCount val="1"/>
                    <c:pt idx="0">
                      <c:v>DK</c:v>
                    </c:pt>
                  </c:strCache>
                </c:strRef>
              </c:tx>
              <c:spPr/>
              <c:txPr>
                <a:bodyPr/>
                <a:lstStyle/>
                <a:p>
                  <a:pPr>
                    <a:defRPr sz="1000" b="0" i="0" strike="noStrike">
                      <a:latin typeface="Arial"/>
                    </a:defRPr>
                  </a:pPr>
                  <a:endParaRPr lang="fr-FR"/>
                </a:p>
              </c:txPr>
              <c:dLblPos val="ctr"/>
              <c:showVal val="1"/>
            </c:dLbl>
            <c:dLbl>
              <c:idx val="1"/>
              <c:tx>
                <c:strRef>
                  <c:f>'WACC BIPT &amp; Cullen 2013'!$BA$56</c:f>
                  <c:strCache>
                    <c:ptCount val="1"/>
                    <c:pt idx="0">
                      <c:v>CH</c:v>
                    </c:pt>
                  </c:strCache>
                </c:strRef>
              </c:tx>
              <c:spPr/>
              <c:txPr>
                <a:bodyPr/>
                <a:lstStyle/>
                <a:p>
                  <a:pPr>
                    <a:defRPr sz="1000" b="0" i="0" strike="noStrike">
                      <a:latin typeface="Arial"/>
                    </a:defRPr>
                  </a:pPr>
                  <a:endParaRPr lang="fr-FR"/>
                </a:p>
              </c:txPr>
              <c:dLblPos val="ctr"/>
              <c:showVal val="1"/>
            </c:dLbl>
            <c:dLbl>
              <c:idx val="2"/>
              <c:tx>
                <c:strRef>
                  <c:f>'WACC BIPT &amp; Cullen 2013'!$BA$57</c:f>
                  <c:strCache>
                    <c:ptCount val="1"/>
                    <c:pt idx="0">
                      <c:v>NL (Brattle)</c:v>
                    </c:pt>
                  </c:strCache>
                </c:strRef>
              </c:tx>
              <c:spPr/>
              <c:txPr>
                <a:bodyPr/>
                <a:lstStyle/>
                <a:p>
                  <a:pPr>
                    <a:defRPr sz="1000" b="0" i="0" strike="noStrike">
                      <a:latin typeface="Arial"/>
                    </a:defRPr>
                  </a:pPr>
                  <a:endParaRPr lang="fr-FR"/>
                </a:p>
              </c:txPr>
              <c:dLblPos val="ctr"/>
              <c:showVal val="1"/>
            </c:dLbl>
            <c:dLbl>
              <c:idx val="3"/>
              <c:tx>
                <c:strRef>
                  <c:f>'WACC BIPT &amp; Cullen 2013'!$BA$58</c:f>
                  <c:strCache>
                    <c:ptCount val="1"/>
                    <c:pt idx="0">
                      <c:v>NL (Nera)</c:v>
                    </c:pt>
                  </c:strCache>
                </c:strRef>
              </c:tx>
              <c:spPr/>
              <c:txPr>
                <a:bodyPr/>
                <a:lstStyle/>
                <a:p>
                  <a:pPr>
                    <a:defRPr sz="1000" b="0" i="0" strike="noStrike">
                      <a:latin typeface="Arial"/>
                    </a:defRPr>
                  </a:pPr>
                  <a:endParaRPr lang="fr-FR"/>
                </a:p>
              </c:txPr>
              <c:dLblPos val="ctr"/>
              <c:showVal val="1"/>
            </c:dLbl>
            <c:dLbl>
              <c:idx val="4"/>
              <c:tx>
                <c:strRef>
                  <c:f>'WACC BIPT &amp; Cullen 2013'!$BA$59</c:f>
                  <c:strCache>
                    <c:ptCount val="1"/>
                    <c:pt idx="0">
                      <c:v>DE</c:v>
                    </c:pt>
                  </c:strCache>
                </c:strRef>
              </c:tx>
              <c:spPr/>
              <c:txPr>
                <a:bodyPr/>
                <a:lstStyle/>
                <a:p>
                  <a:pPr>
                    <a:defRPr sz="1000" b="0" i="0" strike="noStrike">
                      <a:latin typeface="Arial"/>
                    </a:defRPr>
                  </a:pPr>
                  <a:endParaRPr lang="fr-FR"/>
                </a:p>
              </c:txPr>
              <c:dLblPos val="ctr"/>
              <c:showVal val="1"/>
            </c:dLbl>
            <c:dLbl>
              <c:idx val="5"/>
              <c:tx>
                <c:strRef>
                  <c:f>'WACC BIPT &amp; Cullen 2013'!$BA$60</c:f>
                  <c:strCache>
                    <c:ptCount val="1"/>
                    <c:pt idx="0">
                      <c:v>FI</c:v>
                    </c:pt>
                  </c:strCache>
                </c:strRef>
              </c:tx>
              <c:spPr/>
              <c:txPr>
                <a:bodyPr/>
                <a:lstStyle/>
                <a:p>
                  <a:pPr>
                    <a:defRPr sz="1000" b="0" i="0" strike="noStrike">
                      <a:latin typeface="Arial"/>
                    </a:defRPr>
                  </a:pPr>
                  <a:endParaRPr lang="fr-FR"/>
                </a:p>
              </c:txPr>
              <c:dLblPos val="ctr"/>
              <c:showVal val="1"/>
            </c:dLbl>
            <c:dLbl>
              <c:idx val="6"/>
              <c:layout>
                <c:manualLayout>
                  <c:x val="-3.9108884378478564E-2"/>
                  <c:y val="0"/>
                </c:manualLayout>
              </c:layout>
              <c:tx>
                <c:strRef>
                  <c:f>'WACC BIPT &amp; Cullen 2013'!$BA$61</c:f>
                  <c:strCache>
                    <c:ptCount val="1"/>
                    <c:pt idx="0">
                      <c:v>SE</c:v>
                    </c:pt>
                  </c:strCache>
                </c:strRef>
              </c:tx>
              <c:spPr/>
              <c:txPr>
                <a:bodyPr/>
                <a:lstStyle/>
                <a:p>
                  <a:pPr>
                    <a:defRPr sz="1000" b="0" i="0" strike="noStrike">
                      <a:latin typeface="Arial"/>
                    </a:defRPr>
                  </a:pPr>
                  <a:endParaRPr lang="fr-FR"/>
                </a:p>
              </c:txPr>
              <c:dLblPos val="r"/>
              <c:showVal val="1"/>
            </c:dLbl>
            <c:dLbl>
              <c:idx val="7"/>
              <c:layout>
                <c:manualLayout>
                  <c:x val="-6.223722227419589E-2"/>
                  <c:y val="0"/>
                </c:manualLayout>
              </c:layout>
              <c:tx>
                <c:strRef>
                  <c:f>'WACC BIPT &amp; Cullen 2013'!$BA$62</c:f>
                  <c:strCache>
                    <c:ptCount val="1"/>
                    <c:pt idx="0">
                      <c:v>BIPT 2013</c:v>
                    </c:pt>
                  </c:strCache>
                </c:strRef>
              </c:tx>
              <c:spPr/>
              <c:txPr>
                <a:bodyPr/>
                <a:lstStyle/>
                <a:p>
                  <a:pPr>
                    <a:defRPr sz="1000" b="0" i="0" strike="noStrike">
                      <a:latin typeface="Arial"/>
                    </a:defRPr>
                  </a:pPr>
                  <a:endParaRPr lang="fr-FR"/>
                </a:p>
              </c:txPr>
              <c:dLblPos val="r"/>
              <c:showVal val="1"/>
            </c:dLbl>
            <c:dLbl>
              <c:idx val="8"/>
              <c:tx>
                <c:strRef>
                  <c:f>'WACC BIPT &amp; Cullen 2013'!$BA$63</c:f>
                  <c:strCache>
                    <c:ptCount val="1"/>
                    <c:pt idx="0">
                      <c:v>UK</c:v>
                    </c:pt>
                  </c:strCache>
                </c:strRef>
              </c:tx>
              <c:spPr/>
              <c:txPr>
                <a:bodyPr/>
                <a:lstStyle/>
                <a:p>
                  <a:pPr>
                    <a:defRPr sz="1000" b="0" i="0" strike="noStrike">
                      <a:latin typeface="Arial"/>
                    </a:defRPr>
                  </a:pPr>
                  <a:endParaRPr lang="fr-FR"/>
                </a:p>
              </c:txPr>
              <c:dLblPos val="ctr"/>
              <c:showVal val="1"/>
            </c:dLbl>
            <c:dLbl>
              <c:idx val="9"/>
              <c:tx>
                <c:strRef>
                  <c:f>'WACC BIPT &amp; Cullen 2013'!$BA$64</c:f>
                  <c:strCache>
                    <c:ptCount val="1"/>
                    <c:pt idx="0">
                      <c:v>FR</c:v>
                    </c:pt>
                  </c:strCache>
                </c:strRef>
              </c:tx>
              <c:spPr/>
              <c:txPr>
                <a:bodyPr/>
                <a:lstStyle/>
                <a:p>
                  <a:pPr>
                    <a:defRPr sz="1000" b="0" i="0" strike="noStrike">
                      <a:latin typeface="Arial"/>
                    </a:defRPr>
                  </a:pPr>
                  <a:endParaRPr lang="fr-FR"/>
                </a:p>
              </c:txPr>
              <c:dLblPos val="ctr"/>
              <c:showVal val="1"/>
            </c:dLbl>
            <c:dLbl>
              <c:idx val="10"/>
              <c:tx>
                <c:strRef>
                  <c:f>'WACC BIPT &amp; Cullen 2013'!$BA$65</c:f>
                  <c:strCache>
                    <c:ptCount val="1"/>
                    <c:pt idx="0">
                      <c:v>BIPT 2010</c:v>
                    </c:pt>
                  </c:strCache>
                </c:strRef>
              </c:tx>
              <c:spPr/>
              <c:txPr>
                <a:bodyPr/>
                <a:lstStyle/>
                <a:p>
                  <a:pPr>
                    <a:defRPr sz="1000" b="0" i="0" strike="noStrike">
                      <a:latin typeface="Arial"/>
                    </a:defRPr>
                  </a:pPr>
                  <a:endParaRPr lang="fr-FR"/>
                </a:p>
              </c:txPr>
              <c:dLblPos val="ctr"/>
              <c:showVal val="1"/>
            </c:dLbl>
            <c:dLbl>
              <c:idx val="11"/>
              <c:tx>
                <c:strRef>
                  <c:f>'WACC BIPT &amp; Cullen 2013'!$BA$66</c:f>
                  <c:strCache>
                    <c:ptCount val="1"/>
                    <c:pt idx="0">
                      <c:v>NO</c:v>
                    </c:pt>
                  </c:strCache>
                </c:strRef>
              </c:tx>
              <c:spPr/>
              <c:txPr>
                <a:bodyPr/>
                <a:lstStyle/>
                <a:p>
                  <a:pPr>
                    <a:defRPr sz="1000" b="0" i="0" strike="noStrike">
                      <a:latin typeface="Arial"/>
                    </a:defRPr>
                  </a:pPr>
                  <a:endParaRPr lang="fr-FR"/>
                </a:p>
              </c:txPr>
              <c:dLblPos val="ctr"/>
              <c:showVal val="1"/>
            </c:dLbl>
            <c:dLbl>
              <c:idx val="12"/>
              <c:tx>
                <c:strRef>
                  <c:f>'WACC BIPT &amp; Cullen 2013'!$BA$67</c:f>
                  <c:strCache>
                    <c:ptCount val="1"/>
                    <c:pt idx="0">
                      <c:v>IE</c:v>
                    </c:pt>
                  </c:strCache>
                </c:strRef>
              </c:tx>
              <c:spPr/>
              <c:txPr>
                <a:bodyPr/>
                <a:lstStyle/>
                <a:p>
                  <a:pPr>
                    <a:defRPr sz="1000" b="0" i="0" strike="noStrike">
                      <a:latin typeface="Arial"/>
                    </a:defRPr>
                  </a:pPr>
                  <a:endParaRPr lang="fr-FR"/>
                </a:p>
              </c:txPr>
              <c:dLblPos val="ctr"/>
              <c:showVal val="1"/>
            </c:dLbl>
            <c:dLbl>
              <c:idx val="13"/>
              <c:tx>
                <c:strRef>
                  <c:f>'WACC BIPT &amp; Cullen 2013'!$BA$68</c:f>
                  <c:strCache>
                    <c:ptCount val="1"/>
                    <c:pt idx="0">
                      <c:v>GR</c:v>
                    </c:pt>
                  </c:strCache>
                </c:strRef>
              </c:tx>
              <c:spPr/>
              <c:txPr>
                <a:bodyPr/>
                <a:lstStyle/>
                <a:p>
                  <a:pPr>
                    <a:defRPr sz="1000" b="0" i="0" strike="noStrike">
                      <a:latin typeface="Arial"/>
                    </a:defRPr>
                  </a:pPr>
                  <a:endParaRPr lang="fr-FR"/>
                </a:p>
              </c:txPr>
              <c:dLblPos val="ctr"/>
              <c:showVal val="1"/>
            </c:dLbl>
            <c:dLbl>
              <c:idx val="14"/>
              <c:tx>
                <c:strRef>
                  <c:f>'WACC BIPT &amp; Cullen 2013'!$BA$69</c:f>
                  <c:strCache>
                    <c:ptCount val="1"/>
                    <c:pt idx="0">
                      <c:v>IT</c:v>
                    </c:pt>
                  </c:strCache>
                </c:strRef>
              </c:tx>
              <c:spPr/>
              <c:txPr>
                <a:bodyPr/>
                <a:lstStyle/>
                <a:p>
                  <a:pPr>
                    <a:defRPr sz="1000" b="0" i="0" strike="noStrike">
                      <a:latin typeface="Arial"/>
                    </a:defRPr>
                  </a:pPr>
                  <a:endParaRPr lang="fr-FR"/>
                </a:p>
              </c:txPr>
              <c:dLblPos val="ctr"/>
              <c:showVal val="1"/>
            </c:dLbl>
            <c:dLbl>
              <c:idx val="15"/>
              <c:tx>
                <c:strRef>
                  <c:f>'WACC BIPT &amp; Cullen 2013'!$BA$70</c:f>
                  <c:strCache>
                    <c:ptCount val="1"/>
                    <c:pt idx="0">
                      <c:v>ES</c:v>
                    </c:pt>
                  </c:strCache>
                </c:strRef>
              </c:tx>
              <c:spPr/>
              <c:txPr>
                <a:bodyPr/>
                <a:lstStyle/>
                <a:p>
                  <a:pPr>
                    <a:defRPr sz="1000" b="0" i="0" strike="noStrike">
                      <a:latin typeface="Arial"/>
                    </a:defRPr>
                  </a:pPr>
                  <a:endParaRPr lang="fr-FR"/>
                </a:p>
              </c:txPr>
              <c:dLblPos val="ctr"/>
              <c:showVal val="1"/>
            </c:dLbl>
            <c:dLbl>
              <c:idx val="16"/>
              <c:tx>
                <c:strRef>
                  <c:f>'WACC BIPT &amp; Cullen 2013'!$BA$71</c:f>
                  <c:strCache>
                    <c:ptCount val="1"/>
                    <c:pt idx="0">
                      <c:v>AT</c:v>
                    </c:pt>
                  </c:strCache>
                </c:strRef>
              </c:tx>
              <c:spPr/>
              <c:txPr>
                <a:bodyPr/>
                <a:lstStyle/>
                <a:p>
                  <a:pPr>
                    <a:defRPr sz="1000" b="0" i="0" strike="noStrike">
                      <a:latin typeface="Arial"/>
                    </a:defRPr>
                  </a:pPr>
                  <a:endParaRPr lang="fr-FR"/>
                </a:p>
              </c:txPr>
              <c:dLblPos val="ctr"/>
              <c:showVal val="1"/>
            </c:dLbl>
            <c:dLbl>
              <c:idx val="17"/>
              <c:tx>
                <c:strRef>
                  <c:f>'WACC BIPT &amp; Cullen 2013'!$BA$72</c:f>
                  <c:strCache>
                    <c:ptCount val="1"/>
                    <c:pt idx="0">
                      <c:v>PT</c:v>
                    </c:pt>
                  </c:strCache>
                </c:strRef>
              </c:tx>
              <c:spPr/>
              <c:txPr>
                <a:bodyPr/>
                <a:lstStyle/>
                <a:p>
                  <a:pPr>
                    <a:defRPr sz="1000" b="0" i="0" strike="noStrike">
                      <a:latin typeface="Arial"/>
                    </a:defRPr>
                  </a:pPr>
                  <a:endParaRPr lang="fr-FR"/>
                </a:p>
              </c:txPr>
              <c:dLblPos val="ctr"/>
              <c:showVal val="1"/>
            </c:dLbl>
            <c:showVal val="1"/>
          </c:dLbls>
          <c:xVal>
            <c:numRef>
              <c:f>'WACC BIPT &amp; Cullen 2013'!$BB$55:$BB$72</c:f>
              <c:numCache>
                <c:formatCode>[$-809]mmmm\ yyyy;@</c:formatCode>
                <c:ptCount val="18"/>
                <c:pt idx="0">
                  <c:v>41250</c:v>
                </c:pt>
                <c:pt idx="1">
                  <c:v>40878</c:v>
                </c:pt>
                <c:pt idx="2">
                  <c:v>40983</c:v>
                </c:pt>
                <c:pt idx="3">
                  <c:v>41099</c:v>
                </c:pt>
                <c:pt idx="4">
                  <c:v>41334</c:v>
                </c:pt>
                <c:pt idx="5">
                  <c:v>41396</c:v>
                </c:pt>
                <c:pt idx="6">
                  <c:v>41640</c:v>
                </c:pt>
                <c:pt idx="7">
                  <c:v>41640</c:v>
                </c:pt>
                <c:pt idx="8">
                  <c:v>40744</c:v>
                </c:pt>
                <c:pt idx="9">
                  <c:v>41303</c:v>
                </c:pt>
                <c:pt idx="10">
                  <c:v>40302</c:v>
                </c:pt>
                <c:pt idx="11">
                  <c:v>40453</c:v>
                </c:pt>
                <c:pt idx="12">
                  <c:v>39590</c:v>
                </c:pt>
                <c:pt idx="13">
                  <c:v>38810</c:v>
                </c:pt>
                <c:pt idx="14">
                  <c:v>41369</c:v>
                </c:pt>
                <c:pt idx="15">
                  <c:v>41256</c:v>
                </c:pt>
                <c:pt idx="16">
                  <c:v>41351</c:v>
                </c:pt>
                <c:pt idx="17">
                  <c:v>41185</c:v>
                </c:pt>
              </c:numCache>
            </c:numRef>
          </c:xVal>
          <c:yVal>
            <c:numRef>
              <c:f>'WACC BIPT &amp; Cullen 2013'!$BC$55:$BC$72</c:f>
              <c:numCache>
                <c:formatCode>0.0%</c:formatCode>
                <c:ptCount val="18"/>
                <c:pt idx="0">
                  <c:v>5.3999999999999999E-2</c:v>
                </c:pt>
                <c:pt idx="1">
                  <c:v>5.3999999999999999E-2</c:v>
                </c:pt>
                <c:pt idx="2">
                  <c:v>6.2E-2</c:v>
                </c:pt>
                <c:pt idx="3">
                  <c:v>6.9917999999999925E-2</c:v>
                </c:pt>
                <c:pt idx="4">
                  <c:v>7.0699999999999999E-2</c:v>
                </c:pt>
                <c:pt idx="5">
                  <c:v>6.9999999999999993E-2</c:v>
                </c:pt>
                <c:pt idx="6">
                  <c:v>7.4999999999999997E-2</c:v>
                </c:pt>
                <c:pt idx="7">
                  <c:v>8.1555337818754861E-2</c:v>
                </c:pt>
                <c:pt idx="8">
                  <c:v>8.7999999999999995E-2</c:v>
                </c:pt>
                <c:pt idx="9">
                  <c:v>9.5000000000000001E-2</c:v>
                </c:pt>
                <c:pt idx="10">
                  <c:v>9.8924829571277073E-2</c:v>
                </c:pt>
                <c:pt idx="11">
                  <c:v>0.10199999999999999</c:v>
                </c:pt>
                <c:pt idx="12">
                  <c:v>0.1021</c:v>
                </c:pt>
                <c:pt idx="13">
                  <c:v>0.104</c:v>
                </c:pt>
                <c:pt idx="14">
                  <c:v>0.104</c:v>
                </c:pt>
                <c:pt idx="15">
                  <c:v>0.1048</c:v>
                </c:pt>
                <c:pt idx="16">
                  <c:v>0.1053</c:v>
                </c:pt>
                <c:pt idx="17">
                  <c:v>0.11700000000000001</c:v>
                </c:pt>
              </c:numCache>
            </c:numRef>
          </c:yVal>
        </c:ser>
        <c:axId val="439543296"/>
        <c:axId val="439545216"/>
      </c:scatterChart>
      <c:valAx>
        <c:axId val="439543296"/>
        <c:scaling>
          <c:orientation val="minMax"/>
          <c:max val="41850"/>
          <c:min val="38600"/>
        </c:scaling>
        <c:axPos val="b"/>
        <c:numFmt formatCode="mm/yyyy;@" sourceLinked="0"/>
        <c:tickLblPos val="nextTo"/>
        <c:crossAx val="439545216"/>
        <c:crosses val="autoZero"/>
        <c:crossBetween val="midCat"/>
      </c:valAx>
      <c:valAx>
        <c:axId val="439545216"/>
        <c:scaling>
          <c:orientation val="minMax"/>
        </c:scaling>
        <c:axPos val="l"/>
        <c:majorGridlines>
          <c:spPr>
            <a:ln>
              <a:solidFill>
                <a:schemeClr val="bg1">
                  <a:lumMod val="50000"/>
                </a:schemeClr>
              </a:solidFill>
              <a:prstDash val="dash"/>
            </a:ln>
          </c:spPr>
        </c:majorGridlines>
        <c:numFmt formatCode="0%" sourceLinked="0"/>
        <c:tickLblPos val="nextTo"/>
        <c:spPr>
          <a:ln>
            <a:solidFill>
              <a:schemeClr val="bg1">
                <a:lumMod val="50000"/>
              </a:schemeClr>
            </a:solidFill>
          </a:ln>
        </c:spPr>
        <c:crossAx val="439543296"/>
        <c:crosses val="autoZero"/>
        <c:crossBetween val="midCat"/>
        <c:majorUnit val="1.0000000000000005E-2"/>
      </c:valAx>
    </c:plotArea>
    <c:plotVisOnly val="1"/>
  </c:chart>
  <c:spPr>
    <a:ln>
      <a:noFill/>
    </a:ln>
  </c:spPr>
  <c:txPr>
    <a:bodyPr/>
    <a:lstStyle/>
    <a:p>
      <a:pPr>
        <a:defRPr sz="1200">
          <a:latin typeface="Arial" pitchFamily="34" charset="0"/>
          <a:cs typeface="Arial" pitchFamily="34" charset="0"/>
        </a:defRPr>
      </a:pPr>
      <a:endParaRPr lang="fr-FR"/>
    </a:p>
  </c:txPr>
  <c:printSettings>
    <c:headerFooter/>
    <c:pageMargins b="0.75000000000000844" l="0.70000000000000062" r="0.70000000000000062" t="0.75000000000000844"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9.0370237973293424E-2"/>
          <c:y val="3.8253598058091254E-2"/>
          <c:w val="0.83067389415342785"/>
          <c:h val="0.87320856286200743"/>
        </c:manualLayout>
      </c:layout>
      <c:scatterChart>
        <c:scatterStyle val="lineMarker"/>
        <c:ser>
          <c:idx val="0"/>
          <c:order val="0"/>
          <c:spPr>
            <a:ln w="28575">
              <a:noFill/>
            </a:ln>
          </c:spPr>
          <c:marker>
            <c:symbol val="circle"/>
            <c:size val="9"/>
            <c:spPr>
              <a:solidFill>
                <a:srgbClr val="FFC000">
                  <a:alpha val="50000"/>
                </a:srgbClr>
              </a:solidFill>
              <a:ln>
                <a:noFill/>
              </a:ln>
            </c:spPr>
          </c:marker>
          <c:dPt>
            <c:idx val="4"/>
            <c:marker>
              <c:symbol val="circle"/>
              <c:size val="11"/>
              <c:spPr>
                <a:solidFill>
                  <a:srgbClr val="C00000">
                    <a:alpha val="50000"/>
                  </a:srgbClr>
                </a:solidFill>
                <a:ln>
                  <a:noFill/>
                </a:ln>
              </c:spPr>
            </c:marker>
          </c:dPt>
          <c:dPt>
            <c:idx val="8"/>
            <c:marker>
              <c:symbol val="circle"/>
              <c:size val="11"/>
              <c:spPr>
                <a:solidFill>
                  <a:schemeClr val="accent3">
                    <a:lumMod val="50000"/>
                    <a:alpha val="50000"/>
                  </a:schemeClr>
                </a:solidFill>
                <a:ln>
                  <a:noFill/>
                </a:ln>
              </c:spPr>
            </c:marker>
          </c:dPt>
          <c:dLbls>
            <c:dLbl>
              <c:idx val="0"/>
              <c:tx>
                <c:strRef>
                  <c:f>'WACC BIPT &amp; Cullen 2013'!$BQ$55</c:f>
                  <c:strCache>
                    <c:ptCount val="1"/>
                    <c:pt idx="0">
                      <c:v>DK</c:v>
                    </c:pt>
                  </c:strCache>
                </c:strRef>
              </c:tx>
              <c:spPr/>
              <c:txPr>
                <a:bodyPr/>
                <a:lstStyle/>
                <a:p>
                  <a:pPr>
                    <a:defRPr sz="1200" b="0" i="0" strike="noStrike">
                      <a:latin typeface="Arial" pitchFamily="34" charset="0"/>
                      <a:cs typeface="Arial" pitchFamily="34" charset="0"/>
                    </a:defRPr>
                  </a:pPr>
                  <a:endParaRPr lang="fr-FR"/>
                </a:p>
              </c:txPr>
              <c:dLblPos val="ctr"/>
              <c:showVal val="1"/>
            </c:dLbl>
            <c:dLbl>
              <c:idx val="1"/>
              <c:tx>
                <c:strRef>
                  <c:f>'WACC BIPT &amp; Cullen 2013'!$BQ$56</c:f>
                  <c:strCache>
                    <c:ptCount val="1"/>
                    <c:pt idx="0">
                      <c:v>NL (Brattle)</c:v>
                    </c:pt>
                  </c:strCache>
                </c:strRef>
              </c:tx>
              <c:spPr/>
              <c:txPr>
                <a:bodyPr/>
                <a:lstStyle/>
                <a:p>
                  <a:pPr>
                    <a:defRPr sz="1200" b="0" i="0" strike="noStrike">
                      <a:latin typeface="Arial" pitchFamily="34" charset="0"/>
                      <a:cs typeface="Arial" pitchFamily="34" charset="0"/>
                    </a:defRPr>
                  </a:pPr>
                  <a:endParaRPr lang="fr-FR"/>
                </a:p>
              </c:txPr>
              <c:dLblPos val="ctr"/>
              <c:showVal val="1"/>
            </c:dLbl>
            <c:dLbl>
              <c:idx val="2"/>
              <c:tx>
                <c:strRef>
                  <c:f>'WACC BIPT &amp; Cullen 2013'!$BQ$57</c:f>
                  <c:strCache>
                    <c:ptCount val="1"/>
                    <c:pt idx="0">
                      <c:v>DE</c:v>
                    </c:pt>
                  </c:strCache>
                </c:strRef>
              </c:tx>
              <c:spPr/>
              <c:txPr>
                <a:bodyPr/>
                <a:lstStyle/>
                <a:p>
                  <a:pPr>
                    <a:defRPr sz="1200" b="0" i="0" strike="noStrike">
                      <a:latin typeface="Arial" pitchFamily="34" charset="0"/>
                      <a:cs typeface="Arial" pitchFamily="34" charset="0"/>
                    </a:defRPr>
                  </a:pPr>
                  <a:endParaRPr lang="fr-FR"/>
                </a:p>
              </c:txPr>
              <c:dLblPos val="ctr"/>
              <c:showVal val="1"/>
            </c:dLbl>
            <c:dLbl>
              <c:idx val="3"/>
              <c:tx>
                <c:strRef>
                  <c:f>'WACC BIPT &amp; Cullen 2013'!$BQ$58</c:f>
                  <c:strCache>
                    <c:ptCount val="1"/>
                    <c:pt idx="0">
                      <c:v>FI</c:v>
                    </c:pt>
                  </c:strCache>
                </c:strRef>
              </c:tx>
              <c:spPr/>
              <c:txPr>
                <a:bodyPr/>
                <a:lstStyle/>
                <a:p>
                  <a:pPr>
                    <a:defRPr sz="1200" b="0" i="0" strike="noStrike">
                      <a:latin typeface="Arial" pitchFamily="34" charset="0"/>
                      <a:cs typeface="Arial" pitchFamily="34" charset="0"/>
                    </a:defRPr>
                  </a:pPr>
                  <a:endParaRPr lang="fr-FR"/>
                </a:p>
              </c:txPr>
              <c:dLblPos val="ctr"/>
              <c:showVal val="1"/>
            </c:dLbl>
            <c:dLbl>
              <c:idx val="4"/>
              <c:tx>
                <c:strRef>
                  <c:f>'WACC BIPT &amp; Cullen 2013'!$BQ$59</c:f>
                  <c:strCache>
                    <c:ptCount val="1"/>
                    <c:pt idx="0">
                      <c:v>BIPT 2013</c:v>
                    </c:pt>
                  </c:strCache>
                </c:strRef>
              </c:tx>
              <c:spPr/>
              <c:txPr>
                <a:bodyPr/>
                <a:lstStyle/>
                <a:p>
                  <a:pPr>
                    <a:defRPr sz="1200" b="0" i="0" strike="noStrike">
                      <a:latin typeface="Arial" pitchFamily="34" charset="0"/>
                      <a:cs typeface="Arial" pitchFamily="34" charset="0"/>
                    </a:defRPr>
                  </a:pPr>
                  <a:endParaRPr lang="fr-FR"/>
                </a:p>
              </c:txPr>
              <c:dLblPos val="ctr"/>
              <c:showVal val="1"/>
            </c:dLbl>
            <c:dLbl>
              <c:idx val="5"/>
              <c:tx>
                <c:strRef>
                  <c:f>'WACC BIPT &amp; Cullen 2013'!$BQ$60</c:f>
                  <c:strCache>
                    <c:ptCount val="1"/>
                    <c:pt idx="0">
                      <c:v>UK</c:v>
                    </c:pt>
                  </c:strCache>
                </c:strRef>
              </c:tx>
              <c:spPr/>
              <c:txPr>
                <a:bodyPr/>
                <a:lstStyle/>
                <a:p>
                  <a:pPr>
                    <a:defRPr sz="1200" b="0" i="0" strike="noStrike">
                      <a:latin typeface="Arial" pitchFamily="34" charset="0"/>
                      <a:cs typeface="Arial" pitchFamily="34" charset="0"/>
                    </a:defRPr>
                  </a:pPr>
                  <a:endParaRPr lang="fr-FR"/>
                </a:p>
              </c:txPr>
              <c:dLblPos val="ctr"/>
              <c:showVal val="1"/>
            </c:dLbl>
            <c:dLbl>
              <c:idx val="6"/>
              <c:tx>
                <c:strRef>
                  <c:f>'WACC BIPT &amp; Cullen 2013'!$BQ$61</c:f>
                  <c:strCache>
                    <c:ptCount val="1"/>
                    <c:pt idx="0">
                      <c:v>SE</c:v>
                    </c:pt>
                  </c:strCache>
                </c:strRef>
              </c:tx>
              <c:spPr/>
              <c:txPr>
                <a:bodyPr/>
                <a:lstStyle/>
                <a:p>
                  <a:pPr>
                    <a:defRPr sz="1200" b="0" i="0" strike="noStrike">
                      <a:latin typeface="Arial" pitchFamily="34" charset="0"/>
                      <a:cs typeface="Arial" pitchFamily="34" charset="0"/>
                    </a:defRPr>
                  </a:pPr>
                  <a:endParaRPr lang="fr-FR"/>
                </a:p>
              </c:txPr>
              <c:dLblPos val="ctr"/>
              <c:showVal val="1"/>
            </c:dLbl>
            <c:dLbl>
              <c:idx val="7"/>
              <c:tx>
                <c:strRef>
                  <c:f>'WACC BIPT &amp; Cullen 2013'!$BQ$62</c:f>
                  <c:strCache>
                    <c:ptCount val="1"/>
                    <c:pt idx="0">
                      <c:v>ES</c:v>
                    </c:pt>
                  </c:strCache>
                </c:strRef>
              </c:tx>
              <c:spPr/>
              <c:txPr>
                <a:bodyPr/>
                <a:lstStyle/>
                <a:p>
                  <a:pPr>
                    <a:defRPr sz="1200" b="0" i="0" strike="noStrike">
                      <a:latin typeface="Arial" pitchFamily="34" charset="0"/>
                      <a:cs typeface="Arial" pitchFamily="34" charset="0"/>
                    </a:defRPr>
                  </a:pPr>
                  <a:endParaRPr lang="fr-FR"/>
                </a:p>
              </c:txPr>
              <c:dLblPos val="ctr"/>
              <c:showVal val="1"/>
            </c:dLbl>
            <c:dLbl>
              <c:idx val="8"/>
              <c:tx>
                <c:strRef>
                  <c:f>'WACC BIPT &amp; Cullen 2013'!$BQ$63</c:f>
                  <c:strCache>
                    <c:ptCount val="1"/>
                    <c:pt idx="0">
                      <c:v>BIPT 2010</c:v>
                    </c:pt>
                  </c:strCache>
                </c:strRef>
              </c:tx>
              <c:spPr/>
              <c:txPr>
                <a:bodyPr/>
                <a:lstStyle/>
                <a:p>
                  <a:pPr>
                    <a:defRPr sz="1200" b="0" i="0" strike="noStrike">
                      <a:latin typeface="Arial" pitchFamily="34" charset="0"/>
                      <a:cs typeface="Arial" pitchFamily="34" charset="0"/>
                    </a:defRPr>
                  </a:pPr>
                  <a:endParaRPr lang="fr-FR"/>
                </a:p>
              </c:txPr>
              <c:dLblPos val="ctr"/>
              <c:showVal val="1"/>
            </c:dLbl>
            <c:dLbl>
              <c:idx val="9"/>
              <c:tx>
                <c:strRef>
                  <c:f>'WACC BIPT &amp; Cullen 2013'!$BQ$64</c:f>
                  <c:strCache>
                    <c:ptCount val="1"/>
                    <c:pt idx="0">
                      <c:v>FR</c:v>
                    </c:pt>
                  </c:strCache>
                </c:strRef>
              </c:tx>
              <c:spPr/>
              <c:txPr>
                <a:bodyPr/>
                <a:lstStyle/>
                <a:p>
                  <a:pPr>
                    <a:defRPr sz="1200" b="0" i="0" strike="noStrike">
                      <a:latin typeface="Arial" pitchFamily="34" charset="0"/>
                      <a:cs typeface="Arial" pitchFamily="34" charset="0"/>
                    </a:defRPr>
                  </a:pPr>
                  <a:endParaRPr lang="fr-FR"/>
                </a:p>
              </c:txPr>
              <c:dLblPos val="ctr"/>
              <c:showVal val="1"/>
            </c:dLbl>
            <c:dLbl>
              <c:idx val="10"/>
              <c:tx>
                <c:strRef>
                  <c:f>'WACC BIPT &amp; Cullen 2013'!$BQ$65</c:f>
                  <c:strCache>
                    <c:ptCount val="1"/>
                    <c:pt idx="0">
                      <c:v>IT</c:v>
                    </c:pt>
                  </c:strCache>
                </c:strRef>
              </c:tx>
              <c:spPr/>
              <c:txPr>
                <a:bodyPr/>
                <a:lstStyle/>
                <a:p>
                  <a:pPr>
                    <a:defRPr sz="1200" b="0" i="0" strike="noStrike">
                      <a:latin typeface="Arial" pitchFamily="34" charset="0"/>
                      <a:cs typeface="Arial" pitchFamily="34" charset="0"/>
                    </a:defRPr>
                  </a:pPr>
                  <a:endParaRPr lang="fr-FR"/>
                </a:p>
              </c:txPr>
              <c:dLblPos val="ctr"/>
              <c:showVal val="1"/>
            </c:dLbl>
            <c:dLbl>
              <c:idx val="11"/>
              <c:tx>
                <c:strRef>
                  <c:f>'WACC BIPT &amp; Cullen 2013'!$BQ$66</c:f>
                  <c:strCache>
                    <c:ptCount val="1"/>
                    <c:pt idx="0">
                      <c:v>PT</c:v>
                    </c:pt>
                  </c:strCache>
                </c:strRef>
              </c:tx>
              <c:spPr/>
              <c:txPr>
                <a:bodyPr/>
                <a:lstStyle/>
                <a:p>
                  <a:pPr>
                    <a:defRPr sz="1200" b="0" i="0" strike="noStrike">
                      <a:latin typeface="Arial" pitchFamily="34" charset="0"/>
                      <a:cs typeface="Arial" pitchFamily="34" charset="0"/>
                    </a:defRPr>
                  </a:pPr>
                  <a:endParaRPr lang="fr-FR"/>
                </a:p>
              </c:txPr>
              <c:dLblPos val="ctr"/>
              <c:showVal val="1"/>
            </c:dLbl>
            <c:dLbl>
              <c:idx val="12"/>
              <c:tx>
                <c:strRef>
                  <c:f>'WACC BIPT &amp; Cullen 2013'!$BQ$67</c:f>
                  <c:strCache>
                    <c:ptCount val="1"/>
                    <c:pt idx="0">
                      <c:v>AT</c:v>
                    </c:pt>
                  </c:strCache>
                </c:strRef>
              </c:tx>
              <c:spPr/>
              <c:txPr>
                <a:bodyPr/>
                <a:lstStyle/>
                <a:p>
                  <a:pPr>
                    <a:defRPr sz="1200" b="0" i="0" strike="noStrike">
                      <a:latin typeface="Arial" pitchFamily="34" charset="0"/>
                      <a:cs typeface="Arial" pitchFamily="34" charset="0"/>
                    </a:defRPr>
                  </a:pPr>
                  <a:endParaRPr lang="fr-FR"/>
                </a:p>
              </c:txPr>
              <c:dLblPos val="ctr"/>
              <c:showVal val="1"/>
            </c:dLbl>
            <c:dLbl>
              <c:idx val="13"/>
              <c:tx>
                <c:strRef>
                  <c:f>'WACC BIPT &amp; Cullen 2013'!$BQ$68</c:f>
                  <c:strCache>
                    <c:ptCount val="1"/>
                    <c:pt idx="0">
                      <c:v>NO</c:v>
                    </c:pt>
                  </c:strCache>
                </c:strRef>
              </c:tx>
              <c:spPr/>
              <c:txPr>
                <a:bodyPr/>
                <a:lstStyle/>
                <a:p>
                  <a:pPr>
                    <a:defRPr sz="1200" b="0" i="0" strike="noStrike">
                      <a:latin typeface="Arial" pitchFamily="34" charset="0"/>
                      <a:cs typeface="Arial" pitchFamily="34" charset="0"/>
                    </a:defRPr>
                  </a:pPr>
                  <a:endParaRPr lang="fr-FR"/>
                </a:p>
              </c:txPr>
              <c:dLblPos val="ctr"/>
              <c:showVal val="1"/>
            </c:dLbl>
            <c:dLbl>
              <c:idx val="14"/>
              <c:tx>
                <c:strRef>
                  <c:f>'WACC BIPT &amp; Cullen 2013'!$BQ$69</c:f>
                  <c:strCache>
                    <c:ptCount val="1"/>
                    <c:pt idx="0">
                      <c:v>GR</c:v>
                    </c:pt>
                  </c:strCache>
                </c:strRef>
              </c:tx>
              <c:spPr/>
              <c:txPr>
                <a:bodyPr/>
                <a:lstStyle/>
                <a:p>
                  <a:pPr>
                    <a:defRPr sz="1200" b="0" i="0" strike="noStrike">
                      <a:latin typeface="Arial" pitchFamily="34" charset="0"/>
                      <a:cs typeface="Arial" pitchFamily="34" charset="0"/>
                    </a:defRPr>
                  </a:pPr>
                  <a:endParaRPr lang="fr-FR"/>
                </a:p>
              </c:txPr>
              <c:dLblPos val="ctr"/>
              <c:showVal val="1"/>
            </c:dLbl>
            <c:txPr>
              <a:bodyPr/>
              <a:lstStyle/>
              <a:p>
                <a:pPr>
                  <a:defRPr sz="1200">
                    <a:latin typeface="Arial" pitchFamily="34" charset="0"/>
                    <a:cs typeface="Arial" pitchFamily="34" charset="0"/>
                  </a:defRPr>
                </a:pPr>
                <a:endParaRPr lang="fr-FR"/>
              </a:p>
            </c:txPr>
            <c:showVal val="1"/>
          </c:dLbls>
          <c:xVal>
            <c:numRef>
              <c:f>'WACC BIPT &amp; Cullen 2013'!$BR$55:$BR$69</c:f>
              <c:numCache>
                <c:formatCode>[$-809]mmmm\ yyyy;@</c:formatCode>
                <c:ptCount val="15"/>
                <c:pt idx="0">
                  <c:v>41107</c:v>
                </c:pt>
                <c:pt idx="1">
                  <c:v>40983</c:v>
                </c:pt>
                <c:pt idx="2">
                  <c:v>41275</c:v>
                </c:pt>
                <c:pt idx="3">
                  <c:v>41396</c:v>
                </c:pt>
                <c:pt idx="4">
                  <c:v>41640</c:v>
                </c:pt>
                <c:pt idx="5">
                  <c:v>40617</c:v>
                </c:pt>
                <c:pt idx="6">
                  <c:v>40583</c:v>
                </c:pt>
                <c:pt idx="7">
                  <c:v>41256</c:v>
                </c:pt>
                <c:pt idx="8">
                  <c:v>40302</c:v>
                </c:pt>
                <c:pt idx="9">
                  <c:v>41303</c:v>
                </c:pt>
                <c:pt idx="10">
                  <c:v>40864</c:v>
                </c:pt>
                <c:pt idx="11">
                  <c:v>41029</c:v>
                </c:pt>
                <c:pt idx="12">
                  <c:v>41351</c:v>
                </c:pt>
                <c:pt idx="13">
                  <c:v>41326</c:v>
                </c:pt>
                <c:pt idx="14">
                  <c:v>41255</c:v>
                </c:pt>
              </c:numCache>
            </c:numRef>
          </c:xVal>
          <c:yVal>
            <c:numRef>
              <c:f>'WACC BIPT &amp; Cullen 2013'!$BS$55:$BS$69</c:f>
              <c:numCache>
                <c:formatCode>0.0%</c:formatCode>
                <c:ptCount val="15"/>
                <c:pt idx="0">
                  <c:v>6.2899999999999998E-2</c:v>
                </c:pt>
                <c:pt idx="1">
                  <c:v>6.7000000000000004E-2</c:v>
                </c:pt>
                <c:pt idx="2">
                  <c:v>7.0699999999999999E-2</c:v>
                </c:pt>
                <c:pt idx="3">
                  <c:v>7.6000000000000012E-2</c:v>
                </c:pt>
                <c:pt idx="4">
                  <c:v>8.7834696185358122E-2</c:v>
                </c:pt>
                <c:pt idx="5">
                  <c:v>8.8999999999999996E-2</c:v>
                </c:pt>
                <c:pt idx="6">
                  <c:v>9.4E-2</c:v>
                </c:pt>
                <c:pt idx="7">
                  <c:v>9.9049999999999999E-2</c:v>
                </c:pt>
                <c:pt idx="8">
                  <c:v>0.10294103166186941</c:v>
                </c:pt>
                <c:pt idx="9">
                  <c:v>0.104</c:v>
                </c:pt>
                <c:pt idx="10">
                  <c:v>0.104</c:v>
                </c:pt>
                <c:pt idx="11">
                  <c:v>0.111</c:v>
                </c:pt>
                <c:pt idx="12">
                  <c:v>0.1137</c:v>
                </c:pt>
                <c:pt idx="13">
                  <c:v>0.11799999999999999</c:v>
                </c:pt>
                <c:pt idx="14">
                  <c:v>0.1429</c:v>
                </c:pt>
              </c:numCache>
            </c:numRef>
          </c:yVal>
        </c:ser>
        <c:axId val="440736384"/>
        <c:axId val="440791424"/>
      </c:scatterChart>
      <c:valAx>
        <c:axId val="440736384"/>
        <c:scaling>
          <c:orientation val="minMax"/>
          <c:max val="41700"/>
        </c:scaling>
        <c:axPos val="b"/>
        <c:numFmt formatCode="mm/yyyy;@" sourceLinked="0"/>
        <c:tickLblPos val="nextTo"/>
        <c:crossAx val="440791424"/>
        <c:crosses val="autoZero"/>
        <c:crossBetween val="midCat"/>
        <c:majorUnit val="250"/>
      </c:valAx>
      <c:valAx>
        <c:axId val="440791424"/>
        <c:scaling>
          <c:orientation val="minMax"/>
          <c:max val="0.15000000000000024"/>
        </c:scaling>
        <c:axPos val="l"/>
        <c:majorGridlines>
          <c:spPr>
            <a:ln>
              <a:solidFill>
                <a:schemeClr val="bg1">
                  <a:lumMod val="50000"/>
                </a:schemeClr>
              </a:solidFill>
              <a:prstDash val="dash"/>
            </a:ln>
          </c:spPr>
        </c:majorGridlines>
        <c:numFmt formatCode="0%" sourceLinked="0"/>
        <c:tickLblPos val="nextTo"/>
        <c:spPr>
          <a:ln>
            <a:solidFill>
              <a:schemeClr val="bg1">
                <a:lumMod val="50000"/>
              </a:schemeClr>
            </a:solidFill>
          </a:ln>
        </c:spPr>
        <c:crossAx val="440736384"/>
        <c:crosses val="autoZero"/>
        <c:crossBetween val="midCat"/>
        <c:majorUnit val="1.0000000000000005E-2"/>
      </c:valAx>
    </c:plotArea>
    <c:plotVisOnly val="1"/>
  </c:chart>
  <c:spPr>
    <a:ln>
      <a:noFill/>
    </a:ln>
  </c:spPr>
  <c:txPr>
    <a:bodyPr/>
    <a:lstStyle/>
    <a:p>
      <a:pPr>
        <a:defRPr sz="1200">
          <a:latin typeface="Arial" pitchFamily="34" charset="0"/>
          <a:cs typeface="Arial" pitchFamily="34" charset="0"/>
        </a:defRPr>
      </a:pPr>
      <a:endParaRPr lang="fr-FR"/>
    </a:p>
  </c:txPr>
  <c:printSettings>
    <c:headerFooter/>
    <c:pageMargins b="0.75000000000000866" l="0.70000000000000062" r="0.70000000000000062" t="0.75000000000000866"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fr-FR"/>
  <c:chart>
    <c:plotArea>
      <c:layout/>
      <c:barChart>
        <c:barDir val="bar"/>
        <c:grouping val="stacked"/>
        <c:ser>
          <c:idx val="0"/>
          <c:order val="0"/>
          <c:tx>
            <c:strRef>
              <c:f>'WACC BIPT &amp; Cullen 2013'!$AQ$67</c:f>
              <c:strCache>
                <c:ptCount val="1"/>
                <c:pt idx="0">
                  <c:v>Low</c:v>
                </c:pt>
              </c:strCache>
            </c:strRef>
          </c:tx>
          <c:spPr>
            <a:noFill/>
          </c:spPr>
          <c:val>
            <c:numRef>
              <c:f>'WACC BIPT &amp; Cullen 2013'!$AR$67:$AU$67</c:f>
              <c:numCache>
                <c:formatCode>0.0%</c:formatCode>
                <c:ptCount val="4"/>
                <c:pt idx="0">
                  <c:v>5.3999999999999999E-2</c:v>
                </c:pt>
                <c:pt idx="1">
                  <c:v>6.2899999999999998E-2</c:v>
                </c:pt>
                <c:pt idx="2">
                  <c:v>7.6999999999999999E-2</c:v>
                </c:pt>
                <c:pt idx="3">
                  <c:v>9.69E-2</c:v>
                </c:pt>
              </c:numCache>
            </c:numRef>
          </c:val>
        </c:ser>
        <c:ser>
          <c:idx val="1"/>
          <c:order val="1"/>
          <c:tx>
            <c:strRef>
              <c:f>'WACC BIPT &amp; Cullen 2013'!$AQ$68</c:f>
              <c:strCache>
                <c:ptCount val="1"/>
                <c:pt idx="0">
                  <c:v>2013</c:v>
                </c:pt>
              </c:strCache>
            </c:strRef>
          </c:tx>
          <c:spPr>
            <a:solidFill>
              <a:schemeClr val="bg2">
                <a:lumMod val="90000"/>
              </a:schemeClr>
            </a:solidFill>
          </c:spPr>
          <c:val>
            <c:numRef>
              <c:f>'WACC BIPT &amp; Cullen 2013'!$AR$68:$AU$68</c:f>
              <c:numCache>
                <c:formatCode>0.0%</c:formatCode>
                <c:ptCount val="4"/>
                <c:pt idx="0">
                  <c:v>2.7555337818754862E-2</c:v>
                </c:pt>
                <c:pt idx="1">
                  <c:v>2.4934696185358124E-2</c:v>
                </c:pt>
                <c:pt idx="2">
                  <c:v>2.1924829571277074E-2</c:v>
                </c:pt>
                <c:pt idx="3">
                  <c:v>6.0410316618694088E-3</c:v>
                </c:pt>
              </c:numCache>
            </c:numRef>
          </c:val>
        </c:ser>
        <c:ser>
          <c:idx val="2"/>
          <c:order val="2"/>
          <c:tx>
            <c:strRef>
              <c:f>'WACC BIPT &amp; Cullen 2013'!$AQ$69</c:f>
              <c:strCache>
                <c:ptCount val="1"/>
                <c:pt idx="0">
                  <c:v>Average</c:v>
                </c:pt>
              </c:strCache>
            </c:strRef>
          </c:tx>
          <c:spPr>
            <a:solidFill>
              <a:schemeClr val="bg2">
                <a:lumMod val="75000"/>
              </a:schemeClr>
            </a:solidFill>
          </c:spPr>
          <c:val>
            <c:numRef>
              <c:f>'WACC BIPT &amp; Cullen 2013'!$AR$69:$AU$69</c:f>
              <c:numCache>
                <c:formatCode>0.0%</c:formatCode>
                <c:ptCount val="4"/>
                <c:pt idx="0">
                  <c:v>6.3712140294499425E-3</c:v>
                </c:pt>
                <c:pt idx="1">
                  <c:v>8.9646632190611003E-3</c:v>
                </c:pt>
                <c:pt idx="2">
                  <c:v>2.6470454287229328E-3</c:v>
                </c:pt>
                <c:pt idx="3">
                  <c:v>1.7790912782575052E-2</c:v>
                </c:pt>
              </c:numCache>
            </c:numRef>
          </c:val>
        </c:ser>
        <c:ser>
          <c:idx val="3"/>
          <c:order val="3"/>
          <c:tx>
            <c:strRef>
              <c:f>'WACC BIPT &amp; Cullen 2013'!$AQ$70</c:f>
              <c:strCache>
                <c:ptCount val="1"/>
                <c:pt idx="0">
                  <c:v>Median</c:v>
                </c:pt>
              </c:strCache>
            </c:strRef>
          </c:tx>
          <c:spPr>
            <a:solidFill>
              <a:schemeClr val="bg2">
                <a:lumMod val="50000"/>
              </a:schemeClr>
            </a:solidFill>
          </c:spPr>
          <c:val>
            <c:numRef>
              <c:f>'WACC BIPT &amp; Cullen 2013'!$AR$70:$AU$70</c:f>
              <c:numCache>
                <c:formatCode>0.0%</c:formatCode>
                <c:ptCount val="4"/>
                <c:pt idx="0">
                  <c:v>9.0358629374337335E-3</c:v>
                </c:pt>
                <c:pt idx="1">
                  <c:v>4.1961564265154822E-3</c:v>
                </c:pt>
                <c:pt idx="2">
                  <c:v>7.5312499999999338E-4</c:v>
                </c:pt>
                <c:pt idx="3">
                  <c:v>1.680555555555463E-4</c:v>
                </c:pt>
              </c:numCache>
            </c:numRef>
          </c:val>
        </c:ser>
        <c:ser>
          <c:idx val="4"/>
          <c:order val="4"/>
          <c:tx>
            <c:strRef>
              <c:f>'WACC BIPT &amp; Cullen 2013'!$AQ$71</c:f>
              <c:strCache>
                <c:ptCount val="1"/>
                <c:pt idx="0">
                  <c:v>2010</c:v>
                </c:pt>
              </c:strCache>
            </c:strRef>
          </c:tx>
          <c:spPr>
            <a:solidFill>
              <a:schemeClr val="bg2">
                <a:lumMod val="75000"/>
              </a:schemeClr>
            </a:solidFill>
          </c:spPr>
          <c:val>
            <c:numRef>
              <c:f>'WACC BIPT &amp; Cullen 2013'!$AR$71:$AU$71</c:f>
              <c:numCache>
                <c:formatCode>0.0%</c:formatCode>
                <c:ptCount val="4"/>
                <c:pt idx="0">
                  <c:v>1.962414785638536E-3</c:v>
                </c:pt>
                <c:pt idx="1">
                  <c:v>1.9455158309347048E-3</c:v>
                </c:pt>
                <c:pt idx="2">
                  <c:v>1.2175000000000005E-2</c:v>
                </c:pt>
                <c:pt idx="3">
                  <c:v>8.3999999999999908E-3</c:v>
                </c:pt>
              </c:numCache>
            </c:numRef>
          </c:val>
        </c:ser>
        <c:ser>
          <c:idx val="5"/>
          <c:order val="5"/>
          <c:tx>
            <c:strRef>
              <c:f>'WACC BIPT &amp; Cullen 2013'!$AQ$72</c:f>
              <c:strCache>
                <c:ptCount val="1"/>
                <c:pt idx="0">
                  <c:v>High</c:v>
                </c:pt>
              </c:strCache>
            </c:strRef>
          </c:tx>
          <c:spPr>
            <a:solidFill>
              <a:schemeClr val="bg2">
                <a:lumMod val="90000"/>
              </a:schemeClr>
            </a:solidFill>
          </c:spPr>
          <c:val>
            <c:numRef>
              <c:f>'WACC BIPT &amp; Cullen 2013'!$AR$72:$AU$72</c:f>
              <c:numCache>
                <c:formatCode>0.0%</c:formatCode>
                <c:ptCount val="4"/>
                <c:pt idx="0">
                  <c:v>1.8075170428722934E-2</c:v>
                </c:pt>
                <c:pt idx="1">
                  <c:v>3.995896833813059E-2</c:v>
                </c:pt>
                <c:pt idx="2">
                  <c:v>1.7500000000000002E-2</c:v>
                </c:pt>
                <c:pt idx="3">
                  <c:v>1.8800000000000011E-2</c:v>
                </c:pt>
              </c:numCache>
            </c:numRef>
          </c:val>
        </c:ser>
        <c:gapWidth val="63"/>
        <c:overlap val="100"/>
        <c:axId val="441109888"/>
        <c:axId val="441157120"/>
      </c:barChart>
      <c:catAx>
        <c:axId val="441109888"/>
        <c:scaling>
          <c:orientation val="minMax"/>
        </c:scaling>
        <c:delete val="1"/>
        <c:axPos val="l"/>
        <c:numFmt formatCode="General" sourceLinked="1"/>
        <c:tickLblPos val="none"/>
        <c:crossAx val="441157120"/>
        <c:crosses val="autoZero"/>
        <c:auto val="1"/>
        <c:lblAlgn val="ctr"/>
        <c:lblOffset val="100"/>
      </c:catAx>
      <c:valAx>
        <c:axId val="441157120"/>
        <c:scaling>
          <c:orientation val="minMax"/>
          <c:max val="0.15000000000000024"/>
          <c:min val="0.05"/>
        </c:scaling>
        <c:axPos val="b"/>
        <c:majorGridlines>
          <c:spPr>
            <a:ln>
              <a:solidFill>
                <a:schemeClr val="bg1">
                  <a:lumMod val="50000"/>
                </a:schemeClr>
              </a:solidFill>
              <a:prstDash val="dash"/>
            </a:ln>
          </c:spPr>
        </c:majorGridlines>
        <c:numFmt formatCode="0%" sourceLinked="0"/>
        <c:tickLblPos val="nextTo"/>
        <c:spPr>
          <a:ln>
            <a:solidFill>
              <a:schemeClr val="bg1">
                <a:lumMod val="50000"/>
              </a:schemeClr>
            </a:solidFill>
          </a:ln>
        </c:spPr>
        <c:crossAx val="441109888"/>
        <c:crosses val="autoZero"/>
        <c:crossBetween val="between"/>
        <c:majorUnit val="1.0000000000000005E-2"/>
      </c:valAx>
      <c:spPr>
        <a:noFill/>
      </c:spPr>
    </c:plotArea>
    <c:plotVisOnly val="1"/>
  </c:chart>
  <c:spPr>
    <a:noFill/>
    <a:ln>
      <a:noFill/>
    </a:ln>
  </c:spPr>
  <c:txPr>
    <a:bodyPr/>
    <a:lstStyle/>
    <a:p>
      <a:pPr>
        <a:defRPr>
          <a:latin typeface="Arial" pitchFamily="34" charset="0"/>
          <a:cs typeface="Arial" pitchFamily="34" charset="0"/>
        </a:defRPr>
      </a:pPr>
      <a:endParaRPr lang="fr-FR"/>
    </a:p>
  </c:txPr>
  <c:printSettings>
    <c:headerFooter/>
    <c:pageMargins b="0.75000000000000822" l="0.70000000000000062" r="0.70000000000000062" t="0.75000000000000822"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0.17075795765252846"/>
          <c:y val="3.3665002833140931E-2"/>
          <c:w val="0.78266333514925757"/>
          <c:h val="0.88202447015549978"/>
        </c:manualLayout>
      </c:layout>
      <c:barChart>
        <c:barDir val="bar"/>
        <c:grouping val="stacked"/>
        <c:ser>
          <c:idx val="0"/>
          <c:order val="0"/>
          <c:spPr>
            <a:solidFill>
              <a:schemeClr val="bg2">
                <a:lumMod val="90000"/>
              </a:schemeClr>
            </a:solidFill>
          </c:spPr>
          <c:dPt>
            <c:idx val="4"/>
            <c:spPr>
              <a:solidFill>
                <a:srgbClr val="C00000"/>
              </a:solidFill>
            </c:spPr>
          </c:dPt>
          <c:dPt>
            <c:idx val="8"/>
            <c:spPr>
              <a:solidFill>
                <a:schemeClr val="accent3">
                  <a:lumMod val="50000"/>
                </a:schemeClr>
              </a:solidFill>
            </c:spPr>
          </c:dPt>
          <c:dLbls>
            <c:dLbl>
              <c:idx val="4"/>
              <c:spPr/>
              <c:txPr>
                <a:bodyPr/>
                <a:lstStyle/>
                <a:p>
                  <a:pPr>
                    <a:defRPr sz="1200">
                      <a:solidFill>
                        <a:schemeClr val="bg1"/>
                      </a:solidFill>
                    </a:defRPr>
                  </a:pPr>
                  <a:endParaRPr lang="fr-FR"/>
                </a:p>
              </c:txPr>
            </c:dLbl>
            <c:dLbl>
              <c:idx val="6"/>
              <c:spPr/>
              <c:txPr>
                <a:bodyPr/>
                <a:lstStyle/>
                <a:p>
                  <a:pPr>
                    <a:defRPr sz="1000">
                      <a:solidFill>
                        <a:sysClr val="windowText" lastClr="000000"/>
                      </a:solidFill>
                    </a:defRPr>
                  </a:pPr>
                  <a:endParaRPr lang="fr-FR"/>
                </a:p>
              </c:txPr>
            </c:dLbl>
            <c:dLbl>
              <c:idx val="8"/>
              <c:spPr/>
              <c:txPr>
                <a:bodyPr/>
                <a:lstStyle/>
                <a:p>
                  <a:pPr>
                    <a:defRPr sz="1200">
                      <a:solidFill>
                        <a:schemeClr val="bg1"/>
                      </a:solidFill>
                    </a:defRPr>
                  </a:pPr>
                  <a:endParaRPr lang="fr-FR"/>
                </a:p>
              </c:txPr>
            </c:dLbl>
            <c:dLbl>
              <c:idx val="10"/>
              <c:spPr/>
              <c:txPr>
                <a:bodyPr/>
                <a:lstStyle/>
                <a:p>
                  <a:pPr>
                    <a:defRPr sz="1000">
                      <a:solidFill>
                        <a:sysClr val="windowText" lastClr="000000"/>
                      </a:solidFill>
                    </a:defRPr>
                  </a:pPr>
                  <a:endParaRPr lang="fr-FR"/>
                </a:p>
              </c:txPr>
            </c:dLbl>
            <c:showVal val="1"/>
          </c:dLbls>
          <c:cat>
            <c:strRef>
              <c:f>'WACC BIPT &amp; Cullen 2013'!$BQ$55:$BQ$69</c:f>
              <c:strCache>
                <c:ptCount val="15"/>
                <c:pt idx="0">
                  <c:v>DK</c:v>
                </c:pt>
                <c:pt idx="1">
                  <c:v>NL (Brattle)</c:v>
                </c:pt>
                <c:pt idx="2">
                  <c:v>DE</c:v>
                </c:pt>
                <c:pt idx="3">
                  <c:v>FI</c:v>
                </c:pt>
                <c:pt idx="4">
                  <c:v>BIPT 2013</c:v>
                </c:pt>
                <c:pt idx="5">
                  <c:v>UK</c:v>
                </c:pt>
                <c:pt idx="6">
                  <c:v>SE</c:v>
                </c:pt>
                <c:pt idx="7">
                  <c:v>ES</c:v>
                </c:pt>
                <c:pt idx="8">
                  <c:v>BIPT 2010</c:v>
                </c:pt>
                <c:pt idx="9">
                  <c:v>FR</c:v>
                </c:pt>
                <c:pt idx="10">
                  <c:v>IT</c:v>
                </c:pt>
                <c:pt idx="11">
                  <c:v>PT</c:v>
                </c:pt>
                <c:pt idx="12">
                  <c:v>AT</c:v>
                </c:pt>
                <c:pt idx="13">
                  <c:v>NO</c:v>
                </c:pt>
                <c:pt idx="14">
                  <c:v>GR</c:v>
                </c:pt>
              </c:strCache>
            </c:strRef>
          </c:cat>
          <c:val>
            <c:numRef>
              <c:f>'WACC BIPT &amp; Cullen 2013'!$BT$55:$BT$69</c:f>
              <c:numCache>
                <c:formatCode>0.0%</c:formatCode>
                <c:ptCount val="15"/>
                <c:pt idx="0">
                  <c:v>6.2899999999999998E-2</c:v>
                </c:pt>
                <c:pt idx="1">
                  <c:v>6.7000000000000004E-2</c:v>
                </c:pt>
                <c:pt idx="2">
                  <c:v>7.0699999999999999E-2</c:v>
                </c:pt>
                <c:pt idx="3">
                  <c:v>6.9000000000000006E-2</c:v>
                </c:pt>
                <c:pt idx="4">
                  <c:v>8.7834696185358122E-2</c:v>
                </c:pt>
                <c:pt idx="5">
                  <c:v>8.8999999999999996E-2</c:v>
                </c:pt>
                <c:pt idx="6">
                  <c:v>9.4E-2</c:v>
                </c:pt>
                <c:pt idx="7">
                  <c:v>9.3299999999999994E-2</c:v>
                </c:pt>
                <c:pt idx="8">
                  <c:v>0.10294103166186941</c:v>
                </c:pt>
                <c:pt idx="9">
                  <c:v>0.104</c:v>
                </c:pt>
                <c:pt idx="10">
                  <c:v>0.104</c:v>
                </c:pt>
                <c:pt idx="11">
                  <c:v>0.111</c:v>
                </c:pt>
                <c:pt idx="12">
                  <c:v>0.1137</c:v>
                </c:pt>
                <c:pt idx="13">
                  <c:v>0.11799999999999999</c:v>
                </c:pt>
                <c:pt idx="14">
                  <c:v>0.1429</c:v>
                </c:pt>
              </c:numCache>
            </c:numRef>
          </c:val>
        </c:ser>
        <c:ser>
          <c:idx val="1"/>
          <c:order val="1"/>
          <c:spPr>
            <a:solidFill>
              <a:schemeClr val="bg2"/>
            </a:solidFill>
          </c:spPr>
          <c:dLbls>
            <c:dLbl>
              <c:idx val="3"/>
              <c:layout/>
              <c:tx>
                <c:rich>
                  <a:bodyPr/>
                  <a:lstStyle/>
                  <a:p>
                    <a:r>
                      <a:rPr lang="en-US"/>
                      <a:t>8.3%</a:t>
                    </a:r>
                  </a:p>
                </c:rich>
              </c:tx>
              <c:showVal val="1"/>
            </c:dLbl>
            <c:dLbl>
              <c:idx val="7"/>
              <c:layout/>
              <c:tx>
                <c:rich>
                  <a:bodyPr/>
                  <a:lstStyle/>
                  <a:p>
                    <a:r>
                      <a:rPr lang="en-US"/>
                      <a:t>10.5%</a:t>
                    </a:r>
                  </a:p>
                </c:rich>
              </c:tx>
              <c:showVal val="1"/>
            </c:dLbl>
            <c:showVal val="1"/>
          </c:dLbls>
          <c:cat>
            <c:strRef>
              <c:f>'WACC BIPT &amp; Cullen 2013'!$BQ$55:$BQ$69</c:f>
              <c:strCache>
                <c:ptCount val="15"/>
                <c:pt idx="0">
                  <c:v>DK</c:v>
                </c:pt>
                <c:pt idx="1">
                  <c:v>NL (Brattle)</c:v>
                </c:pt>
                <c:pt idx="2">
                  <c:v>DE</c:v>
                </c:pt>
                <c:pt idx="3">
                  <c:v>FI</c:v>
                </c:pt>
                <c:pt idx="4">
                  <c:v>BIPT 2013</c:v>
                </c:pt>
                <c:pt idx="5">
                  <c:v>UK</c:v>
                </c:pt>
                <c:pt idx="6">
                  <c:v>SE</c:v>
                </c:pt>
                <c:pt idx="7">
                  <c:v>ES</c:v>
                </c:pt>
                <c:pt idx="8">
                  <c:v>BIPT 2010</c:v>
                </c:pt>
                <c:pt idx="9">
                  <c:v>FR</c:v>
                </c:pt>
                <c:pt idx="10">
                  <c:v>IT</c:v>
                </c:pt>
                <c:pt idx="11">
                  <c:v>PT</c:v>
                </c:pt>
                <c:pt idx="12">
                  <c:v>AT</c:v>
                </c:pt>
                <c:pt idx="13">
                  <c:v>NO</c:v>
                </c:pt>
                <c:pt idx="14">
                  <c:v>GR</c:v>
                </c:pt>
              </c:strCache>
            </c:strRef>
          </c:cat>
          <c:val>
            <c:numRef>
              <c:f>'WACC BIPT &amp; Cullen 2013'!$BU$55:$BU$69</c:f>
              <c:numCache>
                <c:formatCode>0.0%</c:formatCode>
                <c:ptCount val="15"/>
                <c:pt idx="3">
                  <c:v>1.4E-2</c:v>
                </c:pt>
                <c:pt idx="7">
                  <c:v>1.150000000000001E-2</c:v>
                </c:pt>
              </c:numCache>
            </c:numRef>
          </c:val>
        </c:ser>
        <c:gapWidth val="72"/>
        <c:overlap val="100"/>
        <c:axId val="443431168"/>
        <c:axId val="443450112"/>
      </c:barChart>
      <c:catAx>
        <c:axId val="443431168"/>
        <c:scaling>
          <c:orientation val="minMax"/>
        </c:scaling>
        <c:axPos val="l"/>
        <c:tickLblPos val="nextTo"/>
        <c:txPr>
          <a:bodyPr/>
          <a:lstStyle/>
          <a:p>
            <a:pPr>
              <a:defRPr sz="1200"/>
            </a:pPr>
            <a:endParaRPr lang="fr-FR"/>
          </a:p>
        </c:txPr>
        <c:crossAx val="443450112"/>
        <c:crosses val="autoZero"/>
        <c:auto val="1"/>
        <c:lblAlgn val="ctr"/>
        <c:lblOffset val="100"/>
      </c:catAx>
      <c:valAx>
        <c:axId val="443450112"/>
        <c:scaling>
          <c:orientation val="minMax"/>
          <c:max val="0.15000000000000024"/>
          <c:min val="0"/>
        </c:scaling>
        <c:axPos val="b"/>
        <c:majorGridlines>
          <c:spPr>
            <a:ln>
              <a:solidFill>
                <a:schemeClr val="bg1">
                  <a:lumMod val="50000"/>
                </a:schemeClr>
              </a:solidFill>
              <a:prstDash val="dash"/>
            </a:ln>
          </c:spPr>
        </c:majorGridlines>
        <c:numFmt formatCode="0%" sourceLinked="0"/>
        <c:minorTickMark val="cross"/>
        <c:tickLblPos val="nextTo"/>
        <c:txPr>
          <a:bodyPr/>
          <a:lstStyle/>
          <a:p>
            <a:pPr>
              <a:defRPr sz="1200"/>
            </a:pPr>
            <a:endParaRPr lang="fr-FR"/>
          </a:p>
        </c:txPr>
        <c:crossAx val="443431168"/>
        <c:crosses val="autoZero"/>
        <c:crossBetween val="between"/>
        <c:majorUnit val="1.0000000000000005E-2"/>
        <c:minorUnit val="1.0000000000000005E-2"/>
      </c:valAx>
    </c:plotArea>
    <c:plotVisOnly val="1"/>
  </c:chart>
  <c:spPr>
    <a:noFill/>
    <a:ln>
      <a:noFill/>
    </a:ln>
  </c:spPr>
  <c:txPr>
    <a:bodyPr/>
    <a:lstStyle/>
    <a:p>
      <a:pPr>
        <a:defRPr>
          <a:latin typeface="Arial" pitchFamily="34" charset="0"/>
          <a:cs typeface="Arial" pitchFamily="34" charset="0"/>
        </a:defRPr>
      </a:pPr>
      <a:endParaRPr lang="fr-FR"/>
    </a:p>
  </c:txPr>
  <c:printSettings>
    <c:headerFooter/>
    <c:pageMargins b="0.75000000000000888" l="0.70000000000000062" r="0.70000000000000062" t="0.75000000000000888"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fr-FR"/>
  <c:chart>
    <c:plotArea>
      <c:layout/>
      <c:barChart>
        <c:barDir val="bar"/>
        <c:grouping val="stacked"/>
        <c:ser>
          <c:idx val="0"/>
          <c:order val="0"/>
          <c:spPr>
            <a:solidFill>
              <a:schemeClr val="bg2">
                <a:lumMod val="90000"/>
              </a:schemeClr>
            </a:solidFill>
          </c:spPr>
          <c:dPt>
            <c:idx val="5"/>
            <c:spPr>
              <a:solidFill>
                <a:schemeClr val="accent3">
                  <a:lumMod val="50000"/>
                </a:schemeClr>
              </a:solidFill>
            </c:spPr>
          </c:dPt>
          <c:dPt>
            <c:idx val="8"/>
            <c:spPr>
              <a:solidFill>
                <a:srgbClr val="C00000"/>
              </a:solidFill>
            </c:spPr>
          </c:dPt>
          <c:dLbls>
            <c:dLbl>
              <c:idx val="2"/>
              <c:layout>
                <c:manualLayout>
                  <c:x val="1.0775694198970639E-2"/>
                  <c:y val="2.8901740681294428E-3"/>
                </c:manualLayout>
              </c:layout>
              <c:showVal val="1"/>
            </c:dLbl>
            <c:dLbl>
              <c:idx val="3"/>
              <c:layout>
                <c:manualLayout>
                  <c:x val="8.6205214194477048E-3"/>
                  <c:y val="2.8901740681294428E-3"/>
                </c:manualLayout>
              </c:layout>
              <c:showVal val="1"/>
            </c:dLbl>
            <c:dLbl>
              <c:idx val="4"/>
              <c:layout>
                <c:manualLayout>
                  <c:x val="6.4655183385688196E-3"/>
                  <c:y val="2.8901740681294428E-3"/>
                </c:manualLayout>
              </c:layout>
              <c:showVal val="1"/>
            </c:dLbl>
            <c:dLbl>
              <c:idx val="5"/>
              <c:layout>
                <c:manualLayout>
                  <c:x val="8.6206911180917584E-3"/>
                  <c:y val="0"/>
                </c:manualLayout>
              </c:layout>
              <c:spPr/>
              <c:txPr>
                <a:bodyPr/>
                <a:lstStyle/>
                <a:p>
                  <a:pPr>
                    <a:defRPr sz="1200">
                      <a:solidFill>
                        <a:schemeClr val="bg1"/>
                      </a:solidFill>
                    </a:defRPr>
                  </a:pPr>
                  <a:endParaRPr lang="fr-FR"/>
                </a:p>
              </c:txPr>
              <c:showVal val="1"/>
            </c:dLbl>
            <c:dLbl>
              <c:idx val="6"/>
              <c:layout>
                <c:manualLayout>
                  <c:x val="8.7133532100309025E-3"/>
                  <c:y val="1.6960655375142651E-4"/>
                </c:manualLayout>
              </c:layout>
              <c:spPr/>
              <c:txPr>
                <a:bodyPr/>
                <a:lstStyle/>
                <a:p>
                  <a:pPr>
                    <a:defRPr sz="1000" b="0">
                      <a:solidFill>
                        <a:sysClr val="windowText" lastClr="000000"/>
                      </a:solidFill>
                    </a:defRPr>
                  </a:pPr>
                  <a:endParaRPr lang="fr-FR"/>
                </a:p>
              </c:txPr>
              <c:showVal val="1"/>
            </c:dLbl>
            <c:dLbl>
              <c:idx val="8"/>
              <c:spPr/>
              <c:txPr>
                <a:bodyPr/>
                <a:lstStyle/>
                <a:p>
                  <a:pPr>
                    <a:defRPr sz="1200">
                      <a:solidFill>
                        <a:schemeClr val="bg1"/>
                      </a:solidFill>
                    </a:defRPr>
                  </a:pPr>
                  <a:endParaRPr lang="fr-FR"/>
                </a:p>
              </c:txPr>
            </c:dLbl>
            <c:txPr>
              <a:bodyPr/>
              <a:lstStyle/>
              <a:p>
                <a:pPr>
                  <a:defRPr sz="1000">
                    <a:solidFill>
                      <a:sysClr val="windowText" lastClr="000000"/>
                    </a:solidFill>
                  </a:defRPr>
                </a:pPr>
                <a:endParaRPr lang="fr-FR"/>
              </a:p>
            </c:txPr>
            <c:showVal val="1"/>
          </c:dLbls>
          <c:cat>
            <c:strRef>
              <c:f>'WACC BIPT &amp; Cullen 2013'!$CG$55:$CG$68</c:f>
              <c:strCache>
                <c:ptCount val="14"/>
                <c:pt idx="0">
                  <c:v>PT</c:v>
                </c:pt>
                <c:pt idx="1">
                  <c:v>ES</c:v>
                </c:pt>
                <c:pt idx="2">
                  <c:v>DE</c:v>
                </c:pt>
                <c:pt idx="3">
                  <c:v>IT</c:v>
                </c:pt>
                <c:pt idx="4">
                  <c:v>UK</c:v>
                </c:pt>
                <c:pt idx="5">
                  <c:v>BIPT 2010</c:v>
                </c:pt>
                <c:pt idx="6">
                  <c:v>NL (Brattle)</c:v>
                </c:pt>
                <c:pt idx="7">
                  <c:v>FI</c:v>
                </c:pt>
                <c:pt idx="8">
                  <c:v>BIPT 2013</c:v>
                </c:pt>
                <c:pt idx="9">
                  <c:v>SE</c:v>
                </c:pt>
                <c:pt idx="10">
                  <c:v>AT</c:v>
                </c:pt>
                <c:pt idx="11">
                  <c:v>DK</c:v>
                </c:pt>
                <c:pt idx="12">
                  <c:v>FR</c:v>
                </c:pt>
                <c:pt idx="13">
                  <c:v>NO</c:v>
                </c:pt>
              </c:strCache>
            </c:strRef>
          </c:cat>
          <c:val>
            <c:numRef>
              <c:f>'WACC BIPT &amp; Cullen 2013'!$CJ$55:$CJ$68</c:f>
              <c:numCache>
                <c:formatCode>0.0%</c:formatCode>
                <c:ptCount val="14"/>
                <c:pt idx="0">
                  <c:v>-6.0000000000000053E-3</c:v>
                </c:pt>
                <c:pt idx="1">
                  <c:v>-5.7500000000000051E-3</c:v>
                </c:pt>
                <c:pt idx="2">
                  <c:v>0</c:v>
                </c:pt>
                <c:pt idx="3">
                  <c:v>0</c:v>
                </c:pt>
                <c:pt idx="4">
                  <c:v>1.0000000000000009E-3</c:v>
                </c:pt>
                <c:pt idx="5">
                  <c:v>4.0162020905923357E-3</c:v>
                </c:pt>
                <c:pt idx="6">
                  <c:v>5.0000000000000044E-3</c:v>
                </c:pt>
                <c:pt idx="7">
                  <c:v>6.0000000000000192E-3</c:v>
                </c:pt>
                <c:pt idx="8">
                  <c:v>6.2793583666032604E-3</c:v>
                </c:pt>
                <c:pt idx="9">
                  <c:v>6.0000000000000053E-3</c:v>
                </c:pt>
                <c:pt idx="10">
                  <c:v>8.3999999999999908E-3</c:v>
                </c:pt>
                <c:pt idx="11">
                  <c:v>8.8999999999999982E-3</c:v>
                </c:pt>
                <c:pt idx="12">
                  <c:v>8.9999999999999941E-3</c:v>
                </c:pt>
                <c:pt idx="13">
                  <c:v>1.6E-2</c:v>
                </c:pt>
              </c:numCache>
            </c:numRef>
          </c:val>
        </c:ser>
        <c:gapWidth val="72"/>
        <c:overlap val="100"/>
        <c:axId val="453937792"/>
        <c:axId val="453986560"/>
      </c:barChart>
      <c:catAx>
        <c:axId val="453937792"/>
        <c:scaling>
          <c:orientation val="minMax"/>
        </c:scaling>
        <c:axPos val="l"/>
        <c:tickLblPos val="nextTo"/>
        <c:txPr>
          <a:bodyPr/>
          <a:lstStyle/>
          <a:p>
            <a:pPr>
              <a:defRPr sz="1200"/>
            </a:pPr>
            <a:endParaRPr lang="fr-FR"/>
          </a:p>
        </c:txPr>
        <c:crossAx val="453986560"/>
        <c:crosses val="autoZero"/>
        <c:auto val="1"/>
        <c:lblAlgn val="ctr"/>
        <c:lblOffset val="100"/>
      </c:catAx>
      <c:valAx>
        <c:axId val="453986560"/>
        <c:scaling>
          <c:orientation val="minMax"/>
        </c:scaling>
        <c:axPos val="b"/>
        <c:majorGridlines>
          <c:spPr>
            <a:ln>
              <a:solidFill>
                <a:schemeClr val="bg1">
                  <a:lumMod val="50000"/>
                </a:schemeClr>
              </a:solidFill>
              <a:prstDash val="dash"/>
            </a:ln>
          </c:spPr>
        </c:majorGridlines>
        <c:numFmt formatCode="0.0%" sourceLinked="0"/>
        <c:tickLblPos val="nextTo"/>
        <c:txPr>
          <a:bodyPr/>
          <a:lstStyle/>
          <a:p>
            <a:pPr>
              <a:defRPr sz="1200"/>
            </a:pPr>
            <a:endParaRPr lang="fr-FR"/>
          </a:p>
        </c:txPr>
        <c:crossAx val="453937792"/>
        <c:crosses val="autoZero"/>
        <c:crossBetween val="between"/>
        <c:majorUnit val="5.0000000000000114E-3"/>
      </c:valAx>
    </c:plotArea>
    <c:plotVisOnly val="1"/>
  </c:chart>
  <c:spPr>
    <a:ln>
      <a:noFill/>
    </a:ln>
  </c:spPr>
  <c:txPr>
    <a:bodyPr/>
    <a:lstStyle/>
    <a:p>
      <a:pPr>
        <a:defRPr>
          <a:latin typeface="Arial" pitchFamily="34" charset="0"/>
          <a:cs typeface="Arial" pitchFamily="34" charset="0"/>
        </a:defRPr>
      </a:pPr>
      <a:endParaRPr lang="fr-FR"/>
    </a:p>
  </c:txPr>
  <c:printSettings>
    <c:headerFooter/>
    <c:pageMargins b="0.75000000000000933" l="0.70000000000000062" r="0.70000000000000062" t="0.75000000000000933"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http://www.marpij.com/" TargetMode="External"/></Relationships>
</file>

<file path=xl/drawings/_rels/drawing10.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76200</xdr:colOff>
      <xdr:row>37</xdr:row>
      <xdr:rowOff>0</xdr:rowOff>
    </xdr:from>
    <xdr:to>
      <xdr:col>2</xdr:col>
      <xdr:colOff>571500</xdr:colOff>
      <xdr:row>40</xdr:row>
      <xdr:rowOff>0</xdr:rowOff>
    </xdr:to>
    <xdr:grpSp>
      <xdr:nvGrpSpPr>
        <xdr:cNvPr id="2" name="Group 1">
          <a:hlinkClick xmlns:r="http://schemas.openxmlformats.org/officeDocument/2006/relationships" r:id="rId1"/>
        </xdr:cNvPr>
        <xdr:cNvGrpSpPr>
          <a:grpSpLocks noChangeAspect="1"/>
        </xdr:cNvGrpSpPr>
      </xdr:nvGrpSpPr>
      <xdr:grpSpPr bwMode="auto">
        <a:xfrm>
          <a:off x="350520" y="6240780"/>
          <a:ext cx="495300" cy="502920"/>
          <a:chOff x="0" y="427"/>
          <a:chExt cx="84" cy="86"/>
        </a:xfrm>
      </xdr:grpSpPr>
      <xdr:sp macro="" textlink="">
        <xdr:nvSpPr>
          <xdr:cNvPr id="3" name="Freeform 2"/>
          <xdr:cNvSpPr>
            <a:spLocks noChangeAspect="1"/>
          </xdr:cNvSpPr>
        </xdr:nvSpPr>
        <xdr:spPr bwMode="auto">
          <a:xfrm>
            <a:off x="0" y="481"/>
            <a:ext cx="35" cy="32"/>
          </a:xfrm>
          <a:custGeom>
            <a:avLst/>
            <a:gdLst>
              <a:gd name="T0" fmla="*/ 0 w 232"/>
              <a:gd name="T1" fmla="*/ 0 h 169"/>
              <a:gd name="T2" fmla="*/ 0 w 232"/>
              <a:gd name="T3" fmla="*/ 0 h 169"/>
              <a:gd name="T4" fmla="*/ 0 w 232"/>
              <a:gd name="T5" fmla="*/ 0 h 169"/>
              <a:gd name="T6" fmla="*/ 0 w 232"/>
              <a:gd name="T7" fmla="*/ 0 h 169"/>
              <a:gd name="T8" fmla="*/ 0 w 232"/>
              <a:gd name="T9" fmla="*/ 0 h 169"/>
              <a:gd name="T10" fmla="*/ 0 w 232"/>
              <a:gd name="T11" fmla="*/ 0 h 169"/>
              <a:gd name="T12" fmla="*/ 0 w 232"/>
              <a:gd name="T13" fmla="*/ 0 h 169"/>
              <a:gd name="T14" fmla="*/ 0 w 232"/>
              <a:gd name="T15" fmla="*/ 0 h 169"/>
              <a:gd name="T16" fmla="*/ 0 w 232"/>
              <a:gd name="T17" fmla="*/ 0 h 169"/>
              <a:gd name="T18" fmla="*/ 0 w 232"/>
              <a:gd name="T19" fmla="*/ 0 h 169"/>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232"/>
              <a:gd name="T31" fmla="*/ 0 h 169"/>
              <a:gd name="T32" fmla="*/ 232 w 232"/>
              <a:gd name="T33" fmla="*/ 169 h 169"/>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232" h="169">
                <a:moveTo>
                  <a:pt x="144" y="1"/>
                </a:moveTo>
                <a:cubicBezTo>
                  <a:pt x="117" y="5"/>
                  <a:pt x="85" y="0"/>
                  <a:pt x="64" y="17"/>
                </a:cubicBezTo>
                <a:cubicBezTo>
                  <a:pt x="56" y="23"/>
                  <a:pt x="55" y="34"/>
                  <a:pt x="48" y="41"/>
                </a:cubicBezTo>
                <a:cubicBezTo>
                  <a:pt x="41" y="48"/>
                  <a:pt x="32" y="52"/>
                  <a:pt x="24" y="57"/>
                </a:cubicBezTo>
                <a:cubicBezTo>
                  <a:pt x="16" y="69"/>
                  <a:pt x="0" y="88"/>
                  <a:pt x="0" y="105"/>
                </a:cubicBezTo>
                <a:cubicBezTo>
                  <a:pt x="0" y="145"/>
                  <a:pt x="49" y="159"/>
                  <a:pt x="80" y="169"/>
                </a:cubicBezTo>
                <a:cubicBezTo>
                  <a:pt x="104" y="166"/>
                  <a:pt x="128" y="166"/>
                  <a:pt x="152" y="161"/>
                </a:cubicBezTo>
                <a:cubicBezTo>
                  <a:pt x="169" y="158"/>
                  <a:pt x="200" y="145"/>
                  <a:pt x="200" y="145"/>
                </a:cubicBezTo>
                <a:cubicBezTo>
                  <a:pt x="213" y="106"/>
                  <a:pt x="232" y="49"/>
                  <a:pt x="192" y="17"/>
                </a:cubicBezTo>
                <a:cubicBezTo>
                  <a:pt x="179" y="6"/>
                  <a:pt x="160" y="6"/>
                  <a:pt x="144" y="1"/>
                </a:cubicBezTo>
                <a:close/>
              </a:path>
            </a:pathLst>
          </a:custGeom>
          <a:solidFill>
            <a:srgbClr val="246C48"/>
          </a:solidFill>
          <a:ln w="9525">
            <a:noFill/>
            <a:round/>
            <a:headEnd/>
            <a:tailEnd/>
          </a:ln>
        </xdr:spPr>
      </xdr:sp>
      <xdr:sp macro="" textlink="">
        <xdr:nvSpPr>
          <xdr:cNvPr id="4" name="Freeform 3"/>
          <xdr:cNvSpPr>
            <a:spLocks noChangeAspect="1"/>
          </xdr:cNvSpPr>
        </xdr:nvSpPr>
        <xdr:spPr bwMode="auto">
          <a:xfrm>
            <a:off x="53" y="481"/>
            <a:ext cx="31" cy="32"/>
          </a:xfrm>
          <a:custGeom>
            <a:avLst/>
            <a:gdLst>
              <a:gd name="T0" fmla="*/ 0 w 187"/>
              <a:gd name="T1" fmla="*/ 0 h 184"/>
              <a:gd name="T2" fmla="*/ 0 w 187"/>
              <a:gd name="T3" fmla="*/ 0 h 184"/>
              <a:gd name="T4" fmla="*/ 0 w 187"/>
              <a:gd name="T5" fmla="*/ 0 h 184"/>
              <a:gd name="T6" fmla="*/ 0 w 187"/>
              <a:gd name="T7" fmla="*/ 0 h 184"/>
              <a:gd name="T8" fmla="*/ 0 w 187"/>
              <a:gd name="T9" fmla="*/ 0 h 184"/>
              <a:gd name="T10" fmla="*/ 0 60000 65536"/>
              <a:gd name="T11" fmla="*/ 0 60000 65536"/>
              <a:gd name="T12" fmla="*/ 0 60000 65536"/>
              <a:gd name="T13" fmla="*/ 0 60000 65536"/>
              <a:gd name="T14" fmla="*/ 0 60000 65536"/>
              <a:gd name="T15" fmla="*/ 0 w 187"/>
              <a:gd name="T16" fmla="*/ 0 h 184"/>
              <a:gd name="T17" fmla="*/ 187 w 187"/>
              <a:gd name="T18" fmla="*/ 184 h 184"/>
            </a:gdLst>
            <a:ahLst/>
            <a:cxnLst>
              <a:cxn ang="T10">
                <a:pos x="T0" y="T1"/>
              </a:cxn>
              <a:cxn ang="T11">
                <a:pos x="T2" y="T3"/>
              </a:cxn>
              <a:cxn ang="T12">
                <a:pos x="T4" y="T5"/>
              </a:cxn>
              <a:cxn ang="T13">
                <a:pos x="T6" y="T7"/>
              </a:cxn>
              <a:cxn ang="T14">
                <a:pos x="T8" y="T9"/>
              </a:cxn>
            </a:cxnLst>
            <a:rect l="T15" t="T16" r="T17" b="T18"/>
            <a:pathLst>
              <a:path w="187" h="184">
                <a:moveTo>
                  <a:pt x="128" y="0"/>
                </a:moveTo>
                <a:cubicBezTo>
                  <a:pt x="57" y="12"/>
                  <a:pt x="25" y="14"/>
                  <a:pt x="0" y="88"/>
                </a:cubicBezTo>
                <a:cubicBezTo>
                  <a:pt x="14" y="131"/>
                  <a:pt x="6" y="150"/>
                  <a:pt x="40" y="184"/>
                </a:cubicBezTo>
                <a:cubicBezTo>
                  <a:pt x="91" y="178"/>
                  <a:pt x="128" y="170"/>
                  <a:pt x="176" y="160"/>
                </a:cubicBezTo>
                <a:cubicBezTo>
                  <a:pt x="187" y="96"/>
                  <a:pt x="185" y="38"/>
                  <a:pt x="128" y="0"/>
                </a:cubicBezTo>
                <a:close/>
              </a:path>
            </a:pathLst>
          </a:custGeom>
          <a:solidFill>
            <a:srgbClr val="FF9900"/>
          </a:solidFill>
          <a:ln w="9525">
            <a:noFill/>
            <a:round/>
            <a:headEnd/>
            <a:tailEnd/>
          </a:ln>
        </xdr:spPr>
      </xdr:sp>
      <xdr:sp macro="" textlink="">
        <xdr:nvSpPr>
          <xdr:cNvPr id="5" name="Freeform 4"/>
          <xdr:cNvSpPr>
            <a:spLocks noChangeAspect="1"/>
          </xdr:cNvSpPr>
        </xdr:nvSpPr>
        <xdr:spPr bwMode="auto">
          <a:xfrm>
            <a:off x="53" y="427"/>
            <a:ext cx="31" cy="35"/>
          </a:xfrm>
          <a:custGeom>
            <a:avLst/>
            <a:gdLst>
              <a:gd name="T0" fmla="*/ 0 w 184"/>
              <a:gd name="T1" fmla="*/ 0 h 205"/>
              <a:gd name="T2" fmla="*/ 0 w 184"/>
              <a:gd name="T3" fmla="*/ 0 h 205"/>
              <a:gd name="T4" fmla="*/ 0 w 184"/>
              <a:gd name="T5" fmla="*/ 0 h 205"/>
              <a:gd name="T6" fmla="*/ 0 w 184"/>
              <a:gd name="T7" fmla="*/ 0 h 205"/>
              <a:gd name="T8" fmla="*/ 0 w 184"/>
              <a:gd name="T9" fmla="*/ 0 h 205"/>
              <a:gd name="T10" fmla="*/ 0 w 184"/>
              <a:gd name="T11" fmla="*/ 0 h 205"/>
              <a:gd name="T12" fmla="*/ 0 w 184"/>
              <a:gd name="T13" fmla="*/ 0 h 205"/>
              <a:gd name="T14" fmla="*/ 0 60000 65536"/>
              <a:gd name="T15" fmla="*/ 0 60000 65536"/>
              <a:gd name="T16" fmla="*/ 0 60000 65536"/>
              <a:gd name="T17" fmla="*/ 0 60000 65536"/>
              <a:gd name="T18" fmla="*/ 0 60000 65536"/>
              <a:gd name="T19" fmla="*/ 0 60000 65536"/>
              <a:gd name="T20" fmla="*/ 0 60000 65536"/>
              <a:gd name="T21" fmla="*/ 0 w 184"/>
              <a:gd name="T22" fmla="*/ 0 h 205"/>
              <a:gd name="T23" fmla="*/ 184 w 184"/>
              <a:gd name="T24" fmla="*/ 205 h 205"/>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84" h="205">
                <a:moveTo>
                  <a:pt x="96" y="42"/>
                </a:moveTo>
                <a:cubicBezTo>
                  <a:pt x="72" y="47"/>
                  <a:pt x="49" y="46"/>
                  <a:pt x="32" y="66"/>
                </a:cubicBezTo>
                <a:cubicBezTo>
                  <a:pt x="19" y="80"/>
                  <a:pt x="0" y="114"/>
                  <a:pt x="0" y="114"/>
                </a:cubicBezTo>
                <a:cubicBezTo>
                  <a:pt x="1" y="121"/>
                  <a:pt x="11" y="174"/>
                  <a:pt x="16" y="178"/>
                </a:cubicBezTo>
                <a:cubicBezTo>
                  <a:pt x="30" y="188"/>
                  <a:pt x="64" y="194"/>
                  <a:pt x="64" y="194"/>
                </a:cubicBezTo>
                <a:cubicBezTo>
                  <a:pt x="116" y="189"/>
                  <a:pt x="167" y="205"/>
                  <a:pt x="184" y="154"/>
                </a:cubicBezTo>
                <a:cubicBezTo>
                  <a:pt x="180" y="109"/>
                  <a:pt x="181" y="0"/>
                  <a:pt x="96" y="42"/>
                </a:cubicBezTo>
                <a:close/>
              </a:path>
            </a:pathLst>
          </a:custGeom>
          <a:solidFill>
            <a:srgbClr val="FF9900"/>
          </a:solidFill>
          <a:ln w="9525">
            <a:noFill/>
            <a:round/>
            <a:headEnd/>
            <a:tailEnd/>
          </a:ln>
        </xdr:spPr>
      </xdr:sp>
      <xdr:sp macro="" textlink="">
        <xdr:nvSpPr>
          <xdr:cNvPr id="6" name="Freeform 5"/>
          <xdr:cNvSpPr>
            <a:spLocks noChangeAspect="1"/>
          </xdr:cNvSpPr>
        </xdr:nvSpPr>
        <xdr:spPr bwMode="auto">
          <a:xfrm>
            <a:off x="0" y="427"/>
            <a:ext cx="31" cy="35"/>
          </a:xfrm>
          <a:custGeom>
            <a:avLst/>
            <a:gdLst>
              <a:gd name="T0" fmla="*/ 0 w 184"/>
              <a:gd name="T1" fmla="*/ 0 h 205"/>
              <a:gd name="T2" fmla="*/ 0 w 184"/>
              <a:gd name="T3" fmla="*/ 0 h 205"/>
              <a:gd name="T4" fmla="*/ 0 w 184"/>
              <a:gd name="T5" fmla="*/ 0 h 205"/>
              <a:gd name="T6" fmla="*/ 0 w 184"/>
              <a:gd name="T7" fmla="*/ 0 h 205"/>
              <a:gd name="T8" fmla="*/ 0 w 184"/>
              <a:gd name="T9" fmla="*/ 0 h 205"/>
              <a:gd name="T10" fmla="*/ 0 w 184"/>
              <a:gd name="T11" fmla="*/ 0 h 205"/>
              <a:gd name="T12" fmla="*/ 0 w 184"/>
              <a:gd name="T13" fmla="*/ 0 h 205"/>
              <a:gd name="T14" fmla="*/ 0 60000 65536"/>
              <a:gd name="T15" fmla="*/ 0 60000 65536"/>
              <a:gd name="T16" fmla="*/ 0 60000 65536"/>
              <a:gd name="T17" fmla="*/ 0 60000 65536"/>
              <a:gd name="T18" fmla="*/ 0 60000 65536"/>
              <a:gd name="T19" fmla="*/ 0 60000 65536"/>
              <a:gd name="T20" fmla="*/ 0 60000 65536"/>
              <a:gd name="T21" fmla="*/ 0 w 184"/>
              <a:gd name="T22" fmla="*/ 0 h 205"/>
              <a:gd name="T23" fmla="*/ 184 w 184"/>
              <a:gd name="T24" fmla="*/ 205 h 205"/>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84" h="205">
                <a:moveTo>
                  <a:pt x="96" y="42"/>
                </a:moveTo>
                <a:cubicBezTo>
                  <a:pt x="72" y="47"/>
                  <a:pt x="49" y="46"/>
                  <a:pt x="32" y="66"/>
                </a:cubicBezTo>
                <a:cubicBezTo>
                  <a:pt x="19" y="80"/>
                  <a:pt x="0" y="114"/>
                  <a:pt x="0" y="114"/>
                </a:cubicBezTo>
                <a:cubicBezTo>
                  <a:pt x="1" y="121"/>
                  <a:pt x="11" y="174"/>
                  <a:pt x="16" y="178"/>
                </a:cubicBezTo>
                <a:cubicBezTo>
                  <a:pt x="30" y="188"/>
                  <a:pt x="64" y="194"/>
                  <a:pt x="64" y="194"/>
                </a:cubicBezTo>
                <a:cubicBezTo>
                  <a:pt x="116" y="189"/>
                  <a:pt x="167" y="205"/>
                  <a:pt x="184" y="154"/>
                </a:cubicBezTo>
                <a:cubicBezTo>
                  <a:pt x="180" y="109"/>
                  <a:pt x="181" y="0"/>
                  <a:pt x="96" y="42"/>
                </a:cubicBezTo>
                <a:close/>
              </a:path>
            </a:pathLst>
          </a:custGeom>
          <a:solidFill>
            <a:srgbClr val="FF9900"/>
          </a:solidFill>
          <a:ln w="9525">
            <a:noFill/>
            <a:round/>
            <a:headEnd/>
            <a:tailEnd/>
          </a:ln>
        </xdr:spPr>
      </xdr:sp>
    </xdr:grpSp>
    <xdr:clientData/>
  </xdr:twoCellAnchor>
  <xdr:twoCellAnchor>
    <xdr:from>
      <xdr:col>8</xdr:col>
      <xdr:colOff>607060</xdr:colOff>
      <xdr:row>12</xdr:row>
      <xdr:rowOff>0</xdr:rowOff>
    </xdr:from>
    <xdr:to>
      <xdr:col>15</xdr:col>
      <xdr:colOff>320040</xdr:colOff>
      <xdr:row>22</xdr:row>
      <xdr:rowOff>0</xdr:rowOff>
    </xdr:to>
    <xdr:graphicFrame macro="">
      <xdr:nvGraphicFramePr>
        <xdr:cNvPr id="9" name="Graphique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3175</xdr:colOff>
      <xdr:row>92</xdr:row>
      <xdr:rowOff>41274</xdr:rowOff>
    </xdr:from>
    <xdr:to>
      <xdr:col>11</xdr:col>
      <xdr:colOff>80434</xdr:colOff>
      <xdr:row>117</xdr:row>
      <xdr:rowOff>6137</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136525</xdr:colOff>
      <xdr:row>121</xdr:row>
      <xdr:rowOff>59267</xdr:rowOff>
    </xdr:from>
    <xdr:to>
      <xdr:col>9</xdr:col>
      <xdr:colOff>476250</xdr:colOff>
      <xdr:row>145</xdr:row>
      <xdr:rowOff>95250</xdr:rowOff>
    </xdr:to>
    <xdr:graphicFrame macro="">
      <xdr:nvGraphicFramePr>
        <xdr:cNvPr id="10" name="Graphique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3811</xdr:colOff>
      <xdr:row>150</xdr:row>
      <xdr:rowOff>55418</xdr:rowOff>
    </xdr:from>
    <xdr:to>
      <xdr:col>9</xdr:col>
      <xdr:colOff>371475</xdr:colOff>
      <xdr:row>162</xdr:row>
      <xdr:rowOff>76582</xdr:rowOff>
    </xdr:to>
    <xdr:graphicFrame macro="">
      <xdr:nvGraphicFramePr>
        <xdr:cNvPr id="11" name="Graphique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387804</xdr:colOff>
      <xdr:row>64</xdr:row>
      <xdr:rowOff>50347</xdr:rowOff>
    </xdr:from>
    <xdr:to>
      <xdr:col>19</xdr:col>
      <xdr:colOff>550333</xdr:colOff>
      <xdr:row>81</xdr:row>
      <xdr:rowOff>76200</xdr:rowOff>
    </xdr:to>
    <xdr:graphicFrame macro="">
      <xdr:nvGraphicFramePr>
        <xdr:cNvPr id="12" name="Graphique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443865</xdr:colOff>
      <xdr:row>93</xdr:row>
      <xdr:rowOff>3810</xdr:rowOff>
    </xdr:from>
    <xdr:to>
      <xdr:col>19</xdr:col>
      <xdr:colOff>19050</xdr:colOff>
      <xdr:row>112</xdr:row>
      <xdr:rowOff>76200</xdr:rowOff>
    </xdr:to>
    <xdr:graphicFrame macro="">
      <xdr:nvGraphicFramePr>
        <xdr:cNvPr id="13" name="Graphique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254000</xdr:colOff>
      <xdr:row>63</xdr:row>
      <xdr:rowOff>18628</xdr:rowOff>
    </xdr:from>
    <xdr:to>
      <xdr:col>10</xdr:col>
      <xdr:colOff>714375</xdr:colOff>
      <xdr:row>88</xdr:row>
      <xdr:rowOff>160867</xdr:rowOff>
    </xdr:to>
    <xdr:grpSp>
      <xdr:nvGrpSpPr>
        <xdr:cNvPr id="14" name="Groupe 13"/>
        <xdr:cNvGrpSpPr/>
      </xdr:nvGrpSpPr>
      <xdr:grpSpPr>
        <a:xfrm>
          <a:off x="2425700" y="10819978"/>
          <a:ext cx="6889750" cy="4428489"/>
          <a:chOff x="2311400" y="11102051"/>
          <a:chExt cx="6909586" cy="4690534"/>
        </a:xfrm>
      </xdr:grpSpPr>
      <xdr:graphicFrame macro="">
        <xdr:nvGraphicFramePr>
          <xdr:cNvPr id="16" name="Graphique 15"/>
          <xdr:cNvGraphicFramePr/>
        </xdr:nvGraphicFramePr>
        <xdr:xfrm>
          <a:off x="2311400" y="11102051"/>
          <a:ext cx="6909586" cy="4690534"/>
        </xdr:xfrm>
        <a:graphic>
          <a:graphicData uri="http://schemas.openxmlformats.org/drawingml/2006/chart">
            <c:chart xmlns:c="http://schemas.openxmlformats.org/drawingml/2006/chart" xmlns:r="http://schemas.openxmlformats.org/officeDocument/2006/relationships" r:id="rId6"/>
          </a:graphicData>
        </a:graphic>
      </xdr:graphicFrame>
      <xdr:cxnSp macro="">
        <xdr:nvCxnSpPr>
          <xdr:cNvPr id="17" name="Connecteur droit avec flèche 16"/>
          <xdr:cNvCxnSpPr/>
        </xdr:nvCxnSpPr>
        <xdr:spPr>
          <a:xfrm flipH="1" flipV="1">
            <a:off x="7826757" y="13098572"/>
            <a:ext cx="0" cy="2276890"/>
          </a:xfrm>
          <a:prstGeom prst="straightConnector1">
            <a:avLst/>
          </a:prstGeom>
          <a:ln w="12700">
            <a:solidFill>
              <a:srgbClr val="FFC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8" name="Connecteur droit avec flèche 17"/>
          <xdr:cNvCxnSpPr/>
        </xdr:nvCxnSpPr>
        <xdr:spPr>
          <a:xfrm flipH="1" flipV="1">
            <a:off x="7394741" y="13489931"/>
            <a:ext cx="0" cy="1890976"/>
          </a:xfrm>
          <a:prstGeom prst="straightConnector1">
            <a:avLst/>
          </a:prstGeom>
          <a:ln w="19050">
            <a:solidFill>
              <a:srgbClr val="FFC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1.xml><?xml version="1.0" encoding="utf-8"?>
<c:userShapes xmlns:c="http://schemas.openxmlformats.org/drawingml/2006/chart">
  <cdr:relSizeAnchor xmlns:cdr="http://schemas.openxmlformats.org/drawingml/2006/chartDrawing">
    <cdr:from>
      <cdr:x>0.72507</cdr:x>
      <cdr:y>0.38921</cdr:y>
    </cdr:from>
    <cdr:to>
      <cdr:x>0.93536</cdr:x>
      <cdr:y>0.4951</cdr:y>
    </cdr:to>
    <cdr:sp macro="" textlink="">
      <cdr:nvSpPr>
        <cdr:cNvPr id="3" name="ZoneTexte 1"/>
        <cdr:cNvSpPr txBox="1"/>
      </cdr:nvSpPr>
      <cdr:spPr>
        <a:xfrm xmlns:a="http://schemas.openxmlformats.org/drawingml/2006/main">
          <a:off x="4275124" y="1592296"/>
          <a:ext cx="1239912" cy="433218"/>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1200">
              <a:latin typeface="Arial" pitchFamily="34" charset="0"/>
              <a:cs typeface="Arial" pitchFamily="34" charset="0"/>
            </a:rPr>
            <a:t>Médiane </a:t>
          </a:r>
          <a:r>
            <a:rPr lang="fr-FR" sz="1200" baseline="0">
              <a:latin typeface="Arial" pitchFamily="34" charset="0"/>
              <a:cs typeface="Arial" pitchFamily="34" charset="0"/>
            </a:rPr>
            <a:t>10,1%</a:t>
          </a:r>
        </a:p>
        <a:p xmlns:a="http://schemas.openxmlformats.org/drawingml/2006/main">
          <a:pPr algn="l"/>
          <a:r>
            <a:rPr lang="fr-FR" sz="1200" baseline="0">
              <a:latin typeface="Arial" pitchFamily="34" charset="0"/>
              <a:cs typeface="Arial" pitchFamily="34" charset="0"/>
            </a:rPr>
            <a:t>Moyenne 9,7%</a:t>
          </a:r>
          <a:endParaRPr lang="fr-FR" sz="1200">
            <a:latin typeface="Arial" pitchFamily="34" charset="0"/>
            <a:cs typeface="Arial" pitchFamily="34" charset="0"/>
          </a:endParaRPr>
        </a:p>
      </cdr:txBody>
    </cdr:sp>
  </cdr:relSizeAnchor>
  <cdr:relSizeAnchor xmlns:cdr="http://schemas.openxmlformats.org/drawingml/2006/chartDrawing">
    <cdr:from>
      <cdr:x>0.67857</cdr:x>
      <cdr:y>0.43763</cdr:y>
    </cdr:from>
    <cdr:to>
      <cdr:x>0.69752</cdr:x>
      <cdr:y>0.91721</cdr:y>
    </cdr:to>
    <cdr:grpSp>
      <cdr:nvGrpSpPr>
        <cdr:cNvPr id="8" name="Groupe 7"/>
        <cdr:cNvGrpSpPr/>
      </cdr:nvGrpSpPr>
      <cdr:grpSpPr>
        <a:xfrm xmlns:a="http://schemas.openxmlformats.org/drawingml/2006/main">
          <a:off x="4951667" y="1860415"/>
          <a:ext cx="138282" cy="2038748"/>
          <a:chOff x="4916079" y="1767281"/>
          <a:chExt cx="138532" cy="1963833"/>
        </a:xfrm>
      </cdr:grpSpPr>
      <cdr:sp macro="" textlink="">
        <cdr:nvSpPr>
          <cdr:cNvPr id="6" name="Connecteur droit avec flèche 5"/>
          <cdr:cNvSpPr/>
        </cdr:nvSpPr>
        <cdr:spPr>
          <a:xfrm xmlns:a="http://schemas.openxmlformats.org/drawingml/2006/main" flipV="1">
            <a:off x="4916079" y="1785298"/>
            <a:ext cx="0" cy="1945816"/>
          </a:xfrm>
          <a:prstGeom xmlns:a="http://schemas.openxmlformats.org/drawingml/2006/main" prst="straightConnector1">
            <a:avLst/>
          </a:prstGeom>
          <a:ln xmlns:a="http://schemas.openxmlformats.org/drawingml/2006/main" w="1905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sp macro="" textlink="">
        <cdr:nvSpPr>
          <cdr:cNvPr id="7" name="Connecteur droit avec flèche 6"/>
          <cdr:cNvSpPr/>
        </cdr:nvSpPr>
        <cdr:spPr>
          <a:xfrm xmlns:a="http://schemas.openxmlformats.org/drawingml/2006/main" flipV="1">
            <a:off x="5054611" y="1767281"/>
            <a:ext cx="0" cy="1963833"/>
          </a:xfrm>
          <a:prstGeom xmlns:a="http://schemas.openxmlformats.org/drawingml/2006/main" prst="straightConnector1">
            <a:avLst/>
          </a:prstGeom>
          <a:ln xmlns:a="http://schemas.openxmlformats.org/drawingml/2006/main" w="1270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fr-FR"/>
          </a:p>
        </cdr:txBody>
      </cdr:sp>
    </cdr:grpSp>
  </cdr:relSizeAnchor>
</c:userShapes>
</file>

<file path=xl/drawings/drawing12.xml><?xml version="1.0" encoding="utf-8"?>
<c:userShapes xmlns:c="http://schemas.openxmlformats.org/drawingml/2006/chart">
  <cdr:relSizeAnchor xmlns:cdr="http://schemas.openxmlformats.org/drawingml/2006/chartDrawing">
    <cdr:from>
      <cdr:x>0.47335</cdr:x>
      <cdr:y>0.55845</cdr:y>
    </cdr:from>
    <cdr:to>
      <cdr:x>0.47335</cdr:x>
      <cdr:y>0.91318</cdr:y>
    </cdr:to>
    <cdr:sp macro="" textlink="">
      <cdr:nvSpPr>
        <cdr:cNvPr id="6" name="Connecteur droit avec flèche 5"/>
        <cdr:cNvSpPr/>
      </cdr:nvSpPr>
      <cdr:spPr>
        <a:xfrm xmlns:a="http://schemas.openxmlformats.org/drawingml/2006/main" flipV="1">
          <a:off x="2826656" y="2248352"/>
          <a:ext cx="0" cy="1428204"/>
        </a:xfrm>
        <a:prstGeom xmlns:a="http://schemas.openxmlformats.org/drawingml/2006/main" prst="straightConnector1">
          <a:avLst/>
        </a:prstGeom>
        <a:ln xmlns:a="http://schemas.openxmlformats.org/drawingml/2006/main" w="1905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0.51274</cdr:x>
      <cdr:y>0.46733</cdr:y>
    </cdr:from>
    <cdr:to>
      <cdr:x>0.72437</cdr:x>
      <cdr:y>0.53662</cdr:y>
    </cdr:to>
    <cdr:sp macro="" textlink="">
      <cdr:nvSpPr>
        <cdr:cNvPr id="2" name="ZoneTexte 1"/>
        <cdr:cNvSpPr txBox="1"/>
      </cdr:nvSpPr>
      <cdr:spPr>
        <a:xfrm xmlns:a="http://schemas.openxmlformats.org/drawingml/2006/main">
          <a:off x="3061855" y="1881514"/>
          <a:ext cx="1263775" cy="278967"/>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a:latin typeface="Arial" pitchFamily="34" charset="0"/>
              <a:cs typeface="Arial" pitchFamily="34" charset="0"/>
            </a:rPr>
            <a:t>Médiane</a:t>
          </a:r>
          <a:r>
            <a:rPr lang="fr-FR" sz="1200" baseline="0">
              <a:latin typeface="Arial" pitchFamily="34" charset="0"/>
              <a:cs typeface="Arial" pitchFamily="34" charset="0"/>
            </a:rPr>
            <a:t> = 0,5% </a:t>
          </a:r>
          <a:endParaRPr lang="fr-FR" sz="1200">
            <a:latin typeface="Arial" pitchFamily="34" charset="0"/>
            <a:cs typeface="Arial" pitchFamily="34" charset="0"/>
          </a:endParaRPr>
        </a:p>
      </cdr:txBody>
    </cdr:sp>
  </cdr:relSizeAnchor>
  <cdr:relSizeAnchor xmlns:cdr="http://schemas.openxmlformats.org/drawingml/2006/chartDrawing">
    <cdr:from>
      <cdr:x>0.50203</cdr:x>
      <cdr:y>0.49419</cdr:y>
    </cdr:from>
    <cdr:to>
      <cdr:x>0.50203</cdr:x>
      <cdr:y>0.91101</cdr:y>
    </cdr:to>
    <cdr:sp macro="" textlink="">
      <cdr:nvSpPr>
        <cdr:cNvPr id="5" name="Connecteur droit avec flèche 4"/>
        <cdr:cNvSpPr/>
      </cdr:nvSpPr>
      <cdr:spPr>
        <a:xfrm xmlns:a="http://schemas.openxmlformats.org/drawingml/2006/main" flipV="1">
          <a:off x="2997908" y="1989663"/>
          <a:ext cx="0" cy="1678141"/>
        </a:xfrm>
        <a:prstGeom xmlns:a="http://schemas.openxmlformats.org/drawingml/2006/main" prst="straightConnector1">
          <a:avLst/>
        </a:prstGeom>
        <a:ln xmlns:a="http://schemas.openxmlformats.org/drawingml/2006/main" w="1905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0.51274</cdr:x>
      <cdr:y>0.53683</cdr:y>
    </cdr:from>
    <cdr:to>
      <cdr:x>0.72437</cdr:x>
      <cdr:y>0.60612</cdr:y>
    </cdr:to>
    <cdr:sp macro="" textlink="">
      <cdr:nvSpPr>
        <cdr:cNvPr id="7" name="ZoneTexte 1"/>
        <cdr:cNvSpPr txBox="1"/>
      </cdr:nvSpPr>
      <cdr:spPr>
        <a:xfrm xmlns:a="http://schemas.openxmlformats.org/drawingml/2006/main">
          <a:off x="3061855" y="2161309"/>
          <a:ext cx="1263775" cy="278967"/>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a:latin typeface="Arial" pitchFamily="34" charset="0"/>
              <a:cs typeface="Arial" pitchFamily="34" charset="0"/>
            </a:rPr>
            <a:t>Moyenne</a:t>
          </a:r>
          <a:r>
            <a:rPr lang="fr-FR" sz="1200" baseline="0">
              <a:latin typeface="Arial" pitchFamily="34" charset="0"/>
              <a:cs typeface="Arial" pitchFamily="34" charset="0"/>
            </a:rPr>
            <a:t> = 0,4% </a:t>
          </a:r>
          <a:endParaRPr lang="fr-FR" sz="1200">
            <a:latin typeface="Arial" pitchFamily="34" charset="0"/>
            <a:cs typeface="Arial" pitchFamily="34" charset="0"/>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0.03834</cdr:x>
      <cdr:y>0.45435</cdr:y>
    </cdr:from>
    <cdr:to>
      <cdr:x>0.95794</cdr:x>
      <cdr:y>0.45435</cdr:y>
    </cdr:to>
    <cdr:sp macro="" textlink="">
      <cdr:nvSpPr>
        <cdr:cNvPr id="14" name="Connecteur droit 13"/>
        <cdr:cNvSpPr/>
      </cdr:nvSpPr>
      <cdr:spPr>
        <a:xfrm xmlns:a="http://schemas.openxmlformats.org/drawingml/2006/main">
          <a:off x="231139" y="909782"/>
          <a:ext cx="5544000" cy="0"/>
        </a:xfrm>
        <a:prstGeom xmlns:a="http://schemas.openxmlformats.org/drawingml/2006/main" prst="line">
          <a:avLst/>
        </a:prstGeom>
        <a:ln xmlns:a="http://schemas.openxmlformats.org/drawingml/2006/main" w="6350">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0.02739</cdr:x>
      <cdr:y>0.09539</cdr:y>
    </cdr:from>
    <cdr:to>
      <cdr:x>0.96576</cdr:x>
      <cdr:y>0.81161</cdr:y>
    </cdr:to>
    <cdr:grpSp>
      <cdr:nvGrpSpPr>
        <cdr:cNvPr id="19" name="Groupe 18"/>
        <cdr:cNvGrpSpPr/>
      </cdr:nvGrpSpPr>
      <cdr:grpSpPr>
        <a:xfrm xmlns:a="http://schemas.openxmlformats.org/drawingml/2006/main">
          <a:off x="164517" y="198274"/>
          <a:ext cx="5636286" cy="1488709"/>
          <a:chOff x="165100" y="191006"/>
          <a:chExt cx="5657167" cy="1434133"/>
        </a:xfrm>
      </cdr:grpSpPr>
      <cdr:sp macro="" textlink="">
        <cdr:nvSpPr>
          <cdr:cNvPr id="2" name="ZoneTexte 1"/>
          <cdr:cNvSpPr txBox="1"/>
        </cdr:nvSpPr>
        <cdr:spPr>
          <a:xfrm xmlns:a="http://schemas.openxmlformats.org/drawingml/2006/main">
            <a:off x="759675" y="1379731"/>
            <a:ext cx="1356093" cy="24540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fr-FR" sz="1000" b="1">
                <a:latin typeface="Arial" pitchFamily="34" charset="0"/>
                <a:cs typeface="Arial" pitchFamily="34" charset="0"/>
              </a:rPr>
              <a:t>Fixe</a:t>
            </a:r>
            <a:r>
              <a:rPr lang="fr-FR" sz="1000" b="1" baseline="0">
                <a:latin typeface="Arial" pitchFamily="34" charset="0"/>
                <a:cs typeface="Arial" pitchFamily="34" charset="0"/>
              </a:rPr>
              <a:t> </a:t>
            </a:r>
            <a:r>
              <a:rPr lang="fr-FR" sz="1000" b="1">
                <a:latin typeface="Arial" pitchFamily="34" charset="0"/>
                <a:cs typeface="Arial" pitchFamily="34" charset="0"/>
              </a:rPr>
              <a:t>2013 (7/16) </a:t>
            </a:r>
            <a:r>
              <a:rPr lang="fr-FR" sz="1000">
                <a:latin typeface="Arial" pitchFamily="34" charset="0"/>
                <a:cs typeface="Arial" pitchFamily="34" charset="0"/>
                <a:sym typeface="Symbol"/>
              </a:rPr>
              <a:t></a:t>
            </a:r>
            <a:r>
              <a:rPr lang="fr-FR" sz="1000">
                <a:latin typeface="Arial" pitchFamily="34" charset="0"/>
                <a:cs typeface="Arial" pitchFamily="34" charset="0"/>
              </a:rPr>
              <a:t> </a:t>
            </a:r>
          </a:p>
        </cdr:txBody>
      </cdr:sp>
      <cdr:sp macro="" textlink="">
        <cdr:nvSpPr>
          <cdr:cNvPr id="3" name="ZoneTexte 1"/>
          <cdr:cNvSpPr txBox="1"/>
        </cdr:nvSpPr>
        <cdr:spPr>
          <a:xfrm xmlns:a="http://schemas.openxmlformats.org/drawingml/2006/main">
            <a:off x="3082956" y="995883"/>
            <a:ext cx="1887461" cy="2476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Mobile</a:t>
            </a:r>
            <a:r>
              <a:rPr lang="fr-FR" sz="1000" baseline="0">
                <a:latin typeface="Arial" pitchFamily="34" charset="0"/>
                <a:cs typeface="Arial" pitchFamily="34" charset="0"/>
              </a:rPr>
              <a:t> </a:t>
            </a:r>
            <a:r>
              <a:rPr lang="fr-FR" sz="1000">
                <a:latin typeface="Arial" pitchFamily="34" charset="0"/>
                <a:cs typeface="Arial" pitchFamily="34" charset="0"/>
              </a:rPr>
              <a:t>2010 (8/14) </a:t>
            </a:r>
          </a:p>
        </cdr:txBody>
      </cdr:sp>
      <cdr:sp macro="" textlink="">
        <cdr:nvSpPr>
          <cdr:cNvPr id="4" name="ZoneTexte 1"/>
          <cdr:cNvSpPr txBox="1"/>
        </cdr:nvSpPr>
        <cdr:spPr>
          <a:xfrm xmlns:a="http://schemas.openxmlformats.org/drawingml/2006/main">
            <a:off x="3720655" y="603381"/>
            <a:ext cx="1322733" cy="2368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Fixe 2008 (14/16) </a:t>
            </a:r>
          </a:p>
        </cdr:txBody>
      </cdr:sp>
      <cdr:sp macro="" textlink="">
        <cdr:nvSpPr>
          <cdr:cNvPr id="5" name="ZoneTexte 1"/>
          <cdr:cNvSpPr txBox="1"/>
        </cdr:nvSpPr>
        <cdr:spPr>
          <a:xfrm xmlns:a="http://schemas.openxmlformats.org/drawingml/2006/main">
            <a:off x="4520939" y="191007"/>
            <a:ext cx="1301328" cy="26201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baseline="0">
                <a:latin typeface="Arial" pitchFamily="34" charset="0"/>
                <a:cs typeface="Arial" pitchFamily="34" charset="0"/>
                <a:sym typeface="Symbol"/>
              </a:rPr>
              <a:t> </a:t>
            </a:r>
            <a:r>
              <a:rPr lang="fr-FR" sz="1000" baseline="0">
                <a:latin typeface="Arial" pitchFamily="34" charset="0"/>
                <a:cs typeface="Arial" pitchFamily="34" charset="0"/>
              </a:rPr>
              <a:t>Mobile 2006 (7/12)</a:t>
            </a:r>
            <a:endParaRPr lang="fr-FR" sz="1000">
              <a:latin typeface="Arial" pitchFamily="34" charset="0"/>
              <a:cs typeface="Arial" pitchFamily="34" charset="0"/>
            </a:endParaRPr>
          </a:p>
        </cdr:txBody>
      </cdr:sp>
      <cdr:sp macro="" textlink="">
        <cdr:nvSpPr>
          <cdr:cNvPr id="6" name="ZoneTexte 1"/>
          <cdr:cNvSpPr txBox="1"/>
        </cdr:nvSpPr>
        <cdr:spPr>
          <a:xfrm xmlns:a="http://schemas.openxmlformats.org/drawingml/2006/main">
            <a:off x="977746" y="987774"/>
            <a:ext cx="1372388" cy="2557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b="1">
                <a:latin typeface="Arial" pitchFamily="34" charset="0"/>
                <a:cs typeface="Arial" pitchFamily="34" charset="0"/>
              </a:rPr>
              <a:t>Mobile 2013 (5/14</a:t>
            </a:r>
            <a:r>
              <a:rPr lang="fr-FR" sz="1000">
                <a:latin typeface="Arial" pitchFamily="34" charset="0"/>
                <a:cs typeface="Arial" pitchFamily="34" charset="0"/>
              </a:rPr>
              <a:t>) </a:t>
            </a:r>
            <a:r>
              <a:rPr lang="fr-FR" sz="1000">
                <a:latin typeface="Arial" pitchFamily="34" charset="0"/>
                <a:cs typeface="Arial" pitchFamily="34" charset="0"/>
                <a:sym typeface="Symbol"/>
              </a:rPr>
              <a:t></a:t>
            </a:r>
            <a:r>
              <a:rPr lang="fr-FR" sz="1000">
                <a:latin typeface="Arial" pitchFamily="34" charset="0"/>
                <a:cs typeface="Arial" pitchFamily="34" charset="0"/>
              </a:rPr>
              <a:t> </a:t>
            </a:r>
          </a:p>
        </cdr:txBody>
      </cdr:sp>
      <cdr:sp macro="" textlink="">
        <cdr:nvSpPr>
          <cdr:cNvPr id="7" name="ZoneTexte 1"/>
          <cdr:cNvSpPr txBox="1"/>
        </cdr:nvSpPr>
        <cdr:spPr>
          <a:xfrm xmlns:a="http://schemas.openxmlformats.org/drawingml/2006/main">
            <a:off x="2849835" y="1379732"/>
            <a:ext cx="1182285" cy="24540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Fixe 2010</a:t>
            </a:r>
            <a:r>
              <a:rPr lang="fr-FR" sz="1000" baseline="0">
                <a:latin typeface="Arial" pitchFamily="34" charset="0"/>
                <a:cs typeface="Arial" pitchFamily="34" charset="0"/>
              </a:rPr>
              <a:t> </a:t>
            </a:r>
            <a:r>
              <a:rPr lang="fr-FR" sz="1000">
                <a:latin typeface="Arial" pitchFamily="34" charset="0"/>
                <a:cs typeface="Arial" pitchFamily="34" charset="0"/>
              </a:rPr>
              <a:t>(9/16) </a:t>
            </a:r>
          </a:p>
        </cdr:txBody>
      </cdr:sp>
      <cdr:sp macro="" textlink="">
        <cdr:nvSpPr>
          <cdr:cNvPr id="8" name="ZoneTexte 1"/>
          <cdr:cNvSpPr txBox="1"/>
        </cdr:nvSpPr>
        <cdr:spPr>
          <a:xfrm xmlns:a="http://schemas.openxmlformats.org/drawingml/2006/main">
            <a:off x="1841976" y="191006"/>
            <a:ext cx="1029097" cy="2497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rPr>
              <a:t>Mobile 2010 (3/12) </a:t>
            </a:r>
            <a:r>
              <a:rPr lang="fr-FR" sz="1000">
                <a:latin typeface="Arial" pitchFamily="34" charset="0"/>
                <a:cs typeface="Arial" pitchFamily="34" charset="0"/>
                <a:sym typeface="Symbol"/>
              </a:rPr>
              <a:t></a:t>
            </a:r>
            <a:r>
              <a:rPr lang="fr-FR" sz="1000">
                <a:latin typeface="Arial" pitchFamily="34" charset="0"/>
                <a:cs typeface="Arial" pitchFamily="34" charset="0"/>
              </a:rPr>
              <a:t>  </a:t>
            </a:r>
          </a:p>
        </cdr:txBody>
      </cdr:sp>
      <cdr:sp macro="" textlink="">
        <cdr:nvSpPr>
          <cdr:cNvPr id="9" name="ZoneTexte 1"/>
          <cdr:cNvSpPr txBox="1"/>
        </cdr:nvSpPr>
        <cdr:spPr>
          <a:xfrm xmlns:a="http://schemas.openxmlformats.org/drawingml/2006/main">
            <a:off x="1740310" y="594851"/>
            <a:ext cx="1063738" cy="24540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a:latin typeface="Arial" pitchFamily="34" charset="0"/>
                <a:cs typeface="Arial" pitchFamily="34" charset="0"/>
              </a:rPr>
              <a:t>Fixe  2010 (6/16) </a:t>
            </a:r>
            <a:r>
              <a:rPr lang="fr-FR" sz="1000">
                <a:latin typeface="Arial" pitchFamily="34" charset="0"/>
                <a:cs typeface="Arial" pitchFamily="34" charset="0"/>
                <a:sym typeface="Symbol"/>
              </a:rPr>
              <a:t></a:t>
            </a:r>
            <a:endParaRPr lang="fr-FR" sz="1000">
              <a:latin typeface="Arial" pitchFamily="34" charset="0"/>
              <a:cs typeface="Arial" pitchFamily="34" charset="0"/>
            </a:endParaRPr>
          </a:p>
        </cdr:txBody>
      </cdr:sp>
      <cdr:sp macro="" textlink="">
        <cdr:nvSpPr>
          <cdr:cNvPr id="10" name="ZoneTexte 1"/>
          <cdr:cNvSpPr txBox="1"/>
        </cdr:nvSpPr>
        <cdr:spPr>
          <a:xfrm xmlns:a="http://schemas.openxmlformats.org/drawingml/2006/main">
            <a:off x="1686567" y="1190185"/>
            <a:ext cx="796026" cy="2265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a:solidFill>
                  <a:schemeClr val="bg1">
                    <a:lumMod val="50000"/>
                  </a:schemeClr>
                </a:solidFill>
                <a:latin typeface="Arial" pitchFamily="34" charset="0"/>
                <a:cs typeface="Arial" pitchFamily="34" charset="0"/>
              </a:rPr>
              <a:t>Moyenne</a:t>
            </a:r>
            <a:r>
              <a:rPr lang="fr-FR" sz="1000" baseline="0">
                <a:solidFill>
                  <a:schemeClr val="bg1">
                    <a:lumMod val="50000"/>
                  </a:schemeClr>
                </a:solidFill>
                <a:latin typeface="Arial" pitchFamily="34" charset="0"/>
                <a:cs typeface="Arial" pitchFamily="34" charset="0"/>
                <a:sym typeface="Symbol"/>
              </a:rPr>
              <a:t></a:t>
            </a:r>
            <a:endParaRPr lang="fr-FR" sz="1000">
              <a:solidFill>
                <a:schemeClr val="bg1">
                  <a:lumMod val="50000"/>
                </a:schemeClr>
              </a:solidFill>
              <a:latin typeface="Arial" pitchFamily="34" charset="0"/>
              <a:cs typeface="Arial" pitchFamily="34" charset="0"/>
            </a:endParaRPr>
          </a:p>
        </cdr:txBody>
      </cdr:sp>
      <cdr:sp macro="" textlink="">
        <cdr:nvSpPr>
          <cdr:cNvPr id="15" name="ZoneTexte 1"/>
          <cdr:cNvSpPr txBox="1"/>
        </cdr:nvSpPr>
        <cdr:spPr>
          <a:xfrm xmlns:a="http://schemas.openxmlformats.org/drawingml/2006/main">
            <a:off x="2688288" y="1190185"/>
            <a:ext cx="615065" cy="2265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a:solidFill>
                  <a:sysClr val="window" lastClr="FFFFFF">
                    <a:lumMod val="50000"/>
                  </a:sysClr>
                </a:solidFill>
                <a:latin typeface="Arial" pitchFamily="34" charset="0"/>
                <a:cs typeface="Arial" pitchFamily="34" charset="0"/>
                <a:sym typeface="Symbol"/>
              </a:rPr>
              <a:t></a:t>
            </a:r>
            <a:r>
              <a:rPr lang="fr-FR" sz="1000">
                <a:solidFill>
                  <a:sysClr val="window" lastClr="FFFFFF">
                    <a:lumMod val="50000"/>
                  </a:sysClr>
                </a:solidFill>
                <a:latin typeface="Arial" pitchFamily="34" charset="0"/>
                <a:cs typeface="Arial" pitchFamily="34" charset="0"/>
              </a:rPr>
              <a:t>Médiane</a:t>
            </a:r>
          </a:p>
        </cdr:txBody>
      </cdr:sp>
      <cdr:sp macro="" textlink="">
        <cdr:nvSpPr>
          <cdr:cNvPr id="16" name="ZoneTexte 15"/>
          <cdr:cNvSpPr txBox="1"/>
        </cdr:nvSpPr>
        <cdr:spPr>
          <a:xfrm xmlns:a="http://schemas.openxmlformats.org/drawingml/2006/main">
            <a:off x="165100" y="192338"/>
            <a:ext cx="742950" cy="248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aseline="0">
                <a:latin typeface="Arial" pitchFamily="34" charset="0"/>
              </a:rPr>
              <a:t>En 2010</a:t>
            </a:r>
          </a:p>
        </cdr:txBody>
      </cdr:sp>
      <cdr:sp macro="" textlink="">
        <cdr:nvSpPr>
          <cdr:cNvPr id="18" name="ZoneTexte 1"/>
          <cdr:cNvSpPr txBox="1"/>
        </cdr:nvSpPr>
        <cdr:spPr>
          <a:xfrm xmlns:a="http://schemas.openxmlformats.org/drawingml/2006/main">
            <a:off x="165100" y="987913"/>
            <a:ext cx="742950" cy="2556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aseline="0">
                <a:latin typeface="Arial" pitchFamily="34" charset="0"/>
              </a:rPr>
              <a:t>En 2013</a:t>
            </a:r>
          </a:p>
        </cdr:txBody>
      </cdr:sp>
    </cdr:grpSp>
  </cdr:relSizeAnchor>
</c:userShapes>
</file>

<file path=xl/drawings/drawing14.xml><?xml version="1.0" encoding="utf-8"?>
<c:userShapes xmlns:c="http://schemas.openxmlformats.org/drawingml/2006/chart">
  <cdr:relSizeAnchor xmlns:cdr="http://schemas.openxmlformats.org/drawingml/2006/chartDrawing">
    <cdr:from>
      <cdr:x>0.21305</cdr:x>
      <cdr:y>0.1101</cdr:y>
    </cdr:from>
    <cdr:to>
      <cdr:x>0.33555</cdr:x>
      <cdr:y>0.18421</cdr:y>
    </cdr:to>
    <cdr:sp macro="" textlink="">
      <cdr:nvSpPr>
        <cdr:cNvPr id="2" name="ZoneTexte 1"/>
        <cdr:cNvSpPr txBox="1"/>
      </cdr:nvSpPr>
      <cdr:spPr>
        <a:xfrm xmlns:a="http://schemas.openxmlformats.org/drawingml/2006/main">
          <a:off x="1354669" y="440268"/>
          <a:ext cx="778933" cy="29633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200">
              <a:solidFill>
                <a:schemeClr val="bg1">
                  <a:lumMod val="50000"/>
                </a:schemeClr>
              </a:solidFill>
              <a:latin typeface="Arial" pitchFamily="34" charset="0"/>
              <a:cs typeface="Arial" pitchFamily="34" charset="0"/>
            </a:rPr>
            <a:t>BIPT 2008</a:t>
          </a:r>
        </a:p>
      </cdr:txBody>
    </cdr:sp>
  </cdr:relSizeAnchor>
</c:userShapes>
</file>

<file path=xl/drawings/drawing15.xml><?xml version="1.0" encoding="utf-8"?>
<c:userShapes xmlns:c="http://schemas.openxmlformats.org/drawingml/2006/chart">
  <cdr:relSizeAnchor xmlns:cdr="http://schemas.openxmlformats.org/drawingml/2006/chartDrawing">
    <cdr:from>
      <cdr:x>0.07781</cdr:x>
      <cdr:y>0.12355</cdr:y>
    </cdr:from>
    <cdr:to>
      <cdr:x>0.21009</cdr:x>
      <cdr:y>0.21216</cdr:y>
    </cdr:to>
    <cdr:sp macro="" textlink="">
      <cdr:nvSpPr>
        <cdr:cNvPr id="2" name="ZoneTexte 1"/>
        <cdr:cNvSpPr txBox="1"/>
      </cdr:nvSpPr>
      <cdr:spPr>
        <a:xfrm xmlns:a="http://schemas.openxmlformats.org/drawingml/2006/main">
          <a:off x="473912" y="488231"/>
          <a:ext cx="805685" cy="35013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200">
              <a:solidFill>
                <a:schemeClr val="bg1">
                  <a:lumMod val="50000"/>
                </a:schemeClr>
              </a:solidFill>
              <a:latin typeface="Arial" pitchFamily="34" charset="0"/>
              <a:cs typeface="Arial" pitchFamily="34" charset="0"/>
              <a:sym typeface="Symbol"/>
            </a:rPr>
            <a:t> </a:t>
          </a:r>
          <a:r>
            <a:rPr lang="fr-FR" sz="1200">
              <a:solidFill>
                <a:schemeClr val="bg1">
                  <a:lumMod val="50000"/>
                </a:schemeClr>
              </a:solidFill>
              <a:latin typeface="Arial" pitchFamily="34" charset="0"/>
              <a:cs typeface="Arial" pitchFamily="34" charset="0"/>
            </a:rPr>
            <a:t>BIPT 2006</a:t>
          </a:r>
        </a:p>
      </cdr:txBody>
    </cdr:sp>
  </cdr:relSizeAnchor>
</c:userShapes>
</file>

<file path=xl/drawings/drawing16.xml><?xml version="1.0" encoding="utf-8"?>
<c:userShapes xmlns:c="http://schemas.openxmlformats.org/drawingml/2006/chart">
  <cdr:relSizeAnchor xmlns:cdr="http://schemas.openxmlformats.org/drawingml/2006/chartDrawing">
    <cdr:from>
      <cdr:x>0.79636</cdr:x>
      <cdr:y>0.42142</cdr:y>
    </cdr:from>
    <cdr:to>
      <cdr:x>0.99118</cdr:x>
      <cdr:y>0.48048</cdr:y>
    </cdr:to>
    <cdr:sp macro="" textlink="">
      <cdr:nvSpPr>
        <cdr:cNvPr id="3" name="ZoneTexte 1"/>
        <cdr:cNvSpPr txBox="1"/>
      </cdr:nvSpPr>
      <cdr:spPr>
        <a:xfrm xmlns:a="http://schemas.openxmlformats.org/drawingml/2006/main">
          <a:off x="5511186" y="1843932"/>
          <a:ext cx="1348241" cy="258422"/>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1200">
              <a:latin typeface="Arial" pitchFamily="34" charset="0"/>
              <a:cs typeface="Arial" pitchFamily="34" charset="0"/>
            </a:rPr>
            <a:t>Médiane </a:t>
          </a:r>
          <a:r>
            <a:rPr lang="fr-FR" sz="1200" baseline="0">
              <a:latin typeface="Arial" pitchFamily="34" charset="0"/>
              <a:cs typeface="Arial" pitchFamily="34" charset="0"/>
            </a:rPr>
            <a:t>9,7%</a:t>
          </a:r>
          <a:endParaRPr lang="fr-FR" sz="1200">
            <a:latin typeface="Arial" pitchFamily="34" charset="0"/>
            <a:cs typeface="Arial" pitchFamily="34" charset="0"/>
          </a:endParaRPr>
        </a:p>
      </cdr:txBody>
    </cdr:sp>
  </cdr:relSizeAnchor>
  <cdr:relSizeAnchor xmlns:cdr="http://schemas.openxmlformats.org/drawingml/2006/chartDrawing">
    <cdr:from>
      <cdr:x>0.79636</cdr:x>
      <cdr:y>0.5042</cdr:y>
    </cdr:from>
    <cdr:to>
      <cdr:x>0.98731</cdr:x>
      <cdr:y>0.55926</cdr:y>
    </cdr:to>
    <cdr:sp macro="" textlink="">
      <cdr:nvSpPr>
        <cdr:cNvPr id="2" name="ZoneTexte 1"/>
        <cdr:cNvSpPr txBox="1"/>
      </cdr:nvSpPr>
      <cdr:spPr>
        <a:xfrm xmlns:a="http://schemas.openxmlformats.org/drawingml/2006/main">
          <a:off x="5511186" y="2206142"/>
          <a:ext cx="1321459" cy="24091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pPr algn="l"/>
          <a:r>
            <a:rPr lang="fr-FR" sz="1200" baseline="0">
              <a:latin typeface="Arial" pitchFamily="34" charset="0"/>
              <a:cs typeface="Arial" pitchFamily="34" charset="0"/>
            </a:rPr>
            <a:t>Moyenne 8,8%</a:t>
          </a:r>
          <a:r>
            <a:rPr lang="fr-FR" sz="1200">
              <a:latin typeface="Arial" pitchFamily="34" charset="0"/>
              <a:cs typeface="Arial" pitchFamily="34" charset="0"/>
            </a:rPr>
            <a:t> </a:t>
          </a: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122143</xdr:colOff>
      <xdr:row>26</xdr:row>
      <xdr:rowOff>145678</xdr:rowOff>
    </xdr:from>
    <xdr:to>
      <xdr:col>8</xdr:col>
      <xdr:colOff>582706</xdr:colOff>
      <xdr:row>71</xdr:row>
      <xdr:rowOff>44824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369792</xdr:colOff>
      <xdr:row>30</xdr:row>
      <xdr:rowOff>103093</xdr:rowOff>
    </xdr:from>
    <xdr:to>
      <xdr:col>16</xdr:col>
      <xdr:colOff>549089</xdr:colOff>
      <xdr:row>52</xdr:row>
      <xdr:rowOff>47065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158563</xdr:colOff>
      <xdr:row>28</xdr:row>
      <xdr:rowOff>100851</xdr:rowOff>
    </xdr:from>
    <xdr:to>
      <xdr:col>10</xdr:col>
      <xdr:colOff>806823</xdr:colOff>
      <xdr:row>64</xdr:row>
      <xdr:rowOff>89647</xdr:rowOff>
    </xdr:to>
    <xdr:graphicFrame macro="">
      <xdr:nvGraphicFramePr>
        <xdr:cNvPr id="429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921122</xdr:colOff>
      <xdr:row>32</xdr:row>
      <xdr:rowOff>8965</xdr:rowOff>
    </xdr:from>
    <xdr:to>
      <xdr:col>19</xdr:col>
      <xdr:colOff>91888</xdr:colOff>
      <xdr:row>53</xdr:row>
      <xdr:rowOff>143437</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0.02206</cdr:x>
      <cdr:y>0.02268</cdr:y>
    </cdr:from>
    <cdr:to>
      <cdr:x>0.94561</cdr:x>
      <cdr:y>0.81737</cdr:y>
    </cdr:to>
    <cdr:grpSp>
      <cdr:nvGrpSpPr>
        <cdr:cNvPr id="14" name="Groupe 13"/>
        <cdr:cNvGrpSpPr/>
      </cdr:nvGrpSpPr>
      <cdr:grpSpPr>
        <a:xfrm xmlns:a="http://schemas.openxmlformats.org/drawingml/2006/main">
          <a:off x="88979" y="40440"/>
          <a:ext cx="3725158" cy="1416996"/>
          <a:chOff x="110585" y="40896"/>
          <a:chExt cx="4630067" cy="1433155"/>
        </a:xfrm>
      </cdr:grpSpPr>
      <cdr:grpSp>
        <cdr:nvGrpSpPr>
          <cdr:cNvPr id="11" name="Groupe 10"/>
          <cdr:cNvGrpSpPr/>
        </cdr:nvGrpSpPr>
        <cdr:grpSpPr>
          <a:xfrm xmlns:a="http://schemas.openxmlformats.org/drawingml/2006/main">
            <a:off x="110585" y="184411"/>
            <a:ext cx="4630067" cy="1289640"/>
            <a:chOff x="110584" y="184413"/>
            <a:chExt cx="4630070" cy="1289640"/>
          </a:xfrm>
        </cdr:grpSpPr>
        <cdr:sp macro="" textlink="">
          <cdr:nvSpPr>
            <cdr:cNvPr id="2" name="ZoneTexte 1"/>
            <cdr:cNvSpPr txBox="1"/>
          </cdr:nvSpPr>
          <cdr:spPr>
            <a:xfrm xmlns:a="http://schemas.openxmlformats.org/drawingml/2006/main">
              <a:off x="110584" y="1253028"/>
              <a:ext cx="1127698" cy="2210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a:latin typeface="Arial" pitchFamily="34" charset="0"/>
                  <a:cs typeface="Arial" pitchFamily="34" charset="0"/>
                </a:rPr>
                <a:t>Fixed</a:t>
              </a:r>
              <a:r>
                <a:rPr lang="fr-FR" sz="1000" b="1" baseline="0">
                  <a:latin typeface="Arial" pitchFamily="34" charset="0"/>
                  <a:cs typeface="Arial" pitchFamily="34" charset="0"/>
                </a:rPr>
                <a:t> </a:t>
              </a:r>
              <a:r>
                <a:rPr lang="fr-FR" sz="1000" b="1">
                  <a:latin typeface="Arial" pitchFamily="34" charset="0"/>
                  <a:cs typeface="Arial" pitchFamily="34" charset="0"/>
                </a:rPr>
                <a:t>2013 (7/16) </a:t>
              </a:r>
              <a:r>
                <a:rPr lang="fr-FR" sz="1000" b="1">
                  <a:latin typeface="Arial" pitchFamily="34" charset="0"/>
                  <a:cs typeface="Arial" pitchFamily="34" charset="0"/>
                  <a:sym typeface="Symbol"/>
                </a:rPr>
                <a:t></a:t>
              </a:r>
              <a:r>
                <a:rPr lang="fr-FR" sz="1000" b="1">
                  <a:latin typeface="Arial" pitchFamily="34" charset="0"/>
                  <a:cs typeface="Arial" pitchFamily="34" charset="0"/>
                </a:rPr>
                <a:t> </a:t>
              </a:r>
            </a:p>
          </cdr:txBody>
        </cdr:sp>
        <cdr:sp macro="" textlink="">
          <cdr:nvSpPr>
            <cdr:cNvPr id="3" name="ZoneTexte 1"/>
            <cdr:cNvSpPr txBox="1"/>
          </cdr:nvSpPr>
          <cdr:spPr>
            <a:xfrm xmlns:a="http://schemas.openxmlformats.org/drawingml/2006/main">
              <a:off x="2515846" y="888864"/>
              <a:ext cx="1569572" cy="22302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M</a:t>
              </a:r>
              <a:r>
                <a:rPr lang="fr-FR" sz="1000" baseline="0">
                  <a:latin typeface="Arial" pitchFamily="34" charset="0"/>
                  <a:cs typeface="Arial" pitchFamily="34" charset="0"/>
                </a:rPr>
                <a:t> </a:t>
              </a:r>
              <a:r>
                <a:rPr lang="fr-FR" sz="1000">
                  <a:latin typeface="Arial" pitchFamily="34" charset="0"/>
                  <a:cs typeface="Arial" pitchFamily="34" charset="0"/>
                </a:rPr>
                <a:t>2010 (8) </a:t>
              </a:r>
            </a:p>
          </cdr:txBody>
        </cdr:sp>
        <cdr:sp macro="" textlink="">
          <cdr:nvSpPr>
            <cdr:cNvPr id="4" name="ZoneTexte 1"/>
            <cdr:cNvSpPr txBox="1"/>
          </cdr:nvSpPr>
          <cdr:spPr>
            <a:xfrm xmlns:a="http://schemas.openxmlformats.org/drawingml/2006/main">
              <a:off x="3011938" y="552727"/>
              <a:ext cx="1099957" cy="21334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F 2008 (14/16) </a:t>
              </a:r>
            </a:p>
          </cdr:txBody>
        </cdr:sp>
        <cdr:sp macro="" textlink="">
          <cdr:nvSpPr>
            <cdr:cNvPr id="5" name="ZoneTexte 1"/>
            <cdr:cNvSpPr txBox="1"/>
          </cdr:nvSpPr>
          <cdr:spPr>
            <a:xfrm xmlns:a="http://schemas.openxmlformats.org/drawingml/2006/main">
              <a:off x="3658497" y="184413"/>
              <a:ext cx="1082157" cy="23598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baseline="0">
                  <a:latin typeface="Arial" pitchFamily="34" charset="0"/>
                  <a:cs typeface="Arial" pitchFamily="34" charset="0"/>
                  <a:sym typeface="Symbol"/>
                </a:rPr>
                <a:t> </a:t>
              </a:r>
              <a:r>
                <a:rPr lang="fr-FR" sz="1000" baseline="0">
                  <a:latin typeface="Arial" pitchFamily="34" charset="0"/>
                  <a:cs typeface="Arial" pitchFamily="34" charset="0"/>
                </a:rPr>
                <a:t>M 2006 (7/12)</a:t>
              </a:r>
              <a:endParaRPr lang="fr-FR" sz="1000">
                <a:latin typeface="Arial" pitchFamily="34" charset="0"/>
                <a:cs typeface="Arial" pitchFamily="34" charset="0"/>
              </a:endParaRPr>
            </a:p>
          </cdr:txBody>
        </cdr:sp>
        <cdr:sp macro="" textlink="">
          <cdr:nvSpPr>
            <cdr:cNvPr id="6" name="ZoneTexte 1"/>
            <cdr:cNvSpPr txBox="1"/>
          </cdr:nvSpPr>
          <cdr:spPr>
            <a:xfrm xmlns:a="http://schemas.openxmlformats.org/drawingml/2006/main">
              <a:off x="305299" y="888864"/>
              <a:ext cx="1141249" cy="23033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b="1">
                  <a:latin typeface="Arial" pitchFamily="34" charset="0"/>
                  <a:cs typeface="Arial" pitchFamily="34" charset="0"/>
                </a:rPr>
                <a:t>Mobile 2013 (5/14) </a:t>
              </a:r>
              <a:r>
                <a:rPr lang="fr-FR" sz="1000" b="1">
                  <a:latin typeface="Arial" pitchFamily="34" charset="0"/>
                  <a:cs typeface="Arial" pitchFamily="34" charset="0"/>
                  <a:sym typeface="Symbol"/>
                </a:rPr>
                <a:t></a:t>
              </a:r>
              <a:r>
                <a:rPr lang="fr-FR" sz="1000" b="1">
                  <a:latin typeface="Arial" pitchFamily="34" charset="0"/>
                  <a:cs typeface="Arial" pitchFamily="34" charset="0"/>
                </a:rPr>
                <a:t> </a:t>
              </a:r>
            </a:p>
          </cdr:txBody>
        </cdr:sp>
        <cdr:sp macro="" textlink="">
          <cdr:nvSpPr>
            <cdr:cNvPr id="7" name="ZoneTexte 1"/>
            <cdr:cNvSpPr txBox="1"/>
          </cdr:nvSpPr>
          <cdr:spPr>
            <a:xfrm xmlns:a="http://schemas.openxmlformats.org/drawingml/2006/main">
              <a:off x="2324091" y="1253027"/>
              <a:ext cx="983164" cy="2210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F 2010</a:t>
              </a:r>
              <a:r>
                <a:rPr lang="fr-FR" sz="1000" baseline="0">
                  <a:latin typeface="Arial" pitchFamily="34" charset="0"/>
                  <a:cs typeface="Arial" pitchFamily="34" charset="0"/>
                </a:rPr>
                <a:t> </a:t>
              </a:r>
              <a:r>
                <a:rPr lang="fr-FR" sz="1000">
                  <a:latin typeface="Arial" pitchFamily="34" charset="0"/>
                  <a:cs typeface="Arial" pitchFamily="34" charset="0"/>
                </a:rPr>
                <a:t>(9) </a:t>
              </a:r>
            </a:p>
          </cdr:txBody>
        </cdr:sp>
        <cdr:sp macro="" textlink="">
          <cdr:nvSpPr>
            <cdr:cNvPr id="8" name="ZoneTexte 1"/>
            <cdr:cNvSpPr txBox="1"/>
          </cdr:nvSpPr>
          <cdr:spPr>
            <a:xfrm xmlns:a="http://schemas.openxmlformats.org/drawingml/2006/main">
              <a:off x="1559975" y="184413"/>
              <a:ext cx="855775" cy="2249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rPr>
                <a:t>M 2010 (3) </a:t>
              </a:r>
              <a:r>
                <a:rPr lang="fr-FR" sz="1000">
                  <a:latin typeface="Arial" pitchFamily="34" charset="0"/>
                  <a:cs typeface="Arial" pitchFamily="34" charset="0"/>
                  <a:sym typeface="Symbol"/>
                </a:rPr>
                <a:t></a:t>
              </a:r>
              <a:r>
                <a:rPr lang="fr-FR" sz="1000">
                  <a:latin typeface="Arial" pitchFamily="34" charset="0"/>
                  <a:cs typeface="Arial" pitchFamily="34" charset="0"/>
                </a:rPr>
                <a:t>  </a:t>
              </a:r>
            </a:p>
          </cdr:txBody>
        </cdr:sp>
        <cdr:sp macro="" textlink="">
          <cdr:nvSpPr>
            <cdr:cNvPr id="9" name="ZoneTexte 1"/>
            <cdr:cNvSpPr txBox="1"/>
          </cdr:nvSpPr>
          <cdr:spPr>
            <a:xfrm xmlns:a="http://schemas.openxmlformats.org/drawingml/2006/main">
              <a:off x="1387439" y="552727"/>
              <a:ext cx="884582" cy="2210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a:latin typeface="Arial" pitchFamily="34" charset="0"/>
                  <a:cs typeface="Arial" pitchFamily="34" charset="0"/>
                </a:rPr>
                <a:t>F 2010 (6) </a:t>
              </a:r>
              <a:r>
                <a:rPr lang="fr-FR" sz="1000">
                  <a:latin typeface="Arial" pitchFamily="34" charset="0"/>
                  <a:cs typeface="Arial" pitchFamily="34" charset="0"/>
                  <a:sym typeface="Symbol"/>
                </a:rPr>
                <a:t></a:t>
              </a:r>
              <a:endParaRPr lang="fr-FR" sz="1000">
                <a:latin typeface="Arial" pitchFamily="34" charset="0"/>
                <a:cs typeface="Arial" pitchFamily="34" charset="0"/>
              </a:endParaRPr>
            </a:p>
          </cdr:txBody>
        </cdr:sp>
        <cdr:sp macro="" textlink="">
          <cdr:nvSpPr>
            <cdr:cNvPr id="10" name="ZoneTexte 1"/>
            <cdr:cNvSpPr txBox="1"/>
          </cdr:nvSpPr>
          <cdr:spPr>
            <a:xfrm xmlns:a="http://schemas.openxmlformats.org/drawingml/2006/main">
              <a:off x="1485478" y="1081631"/>
              <a:ext cx="1505766" cy="20408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900">
                  <a:solidFill>
                    <a:schemeClr val="bg1">
                      <a:lumMod val="50000"/>
                    </a:schemeClr>
                  </a:solidFill>
                  <a:latin typeface="Arial" pitchFamily="34" charset="0"/>
                  <a:cs typeface="Arial" pitchFamily="34" charset="0"/>
                </a:rPr>
                <a:t>Avg. </a:t>
              </a:r>
              <a:r>
                <a:rPr lang="fr-FR" sz="900">
                  <a:solidFill>
                    <a:schemeClr val="bg1">
                      <a:lumMod val="50000"/>
                    </a:schemeClr>
                  </a:solidFill>
                  <a:latin typeface="Arial" pitchFamily="34" charset="0"/>
                  <a:cs typeface="Arial" pitchFamily="34" charset="0"/>
                  <a:sym typeface="Symbol"/>
                </a:rPr>
                <a:t></a:t>
              </a:r>
              <a:r>
                <a:rPr lang="fr-FR" sz="900" baseline="0">
                  <a:solidFill>
                    <a:schemeClr val="bg1">
                      <a:lumMod val="50000"/>
                    </a:schemeClr>
                  </a:solidFill>
                  <a:latin typeface="Arial" pitchFamily="34" charset="0"/>
                  <a:cs typeface="Arial" pitchFamily="34" charset="0"/>
                  <a:sym typeface="Symbol"/>
                </a:rPr>
                <a:t>         </a:t>
              </a:r>
              <a:r>
                <a:rPr lang="fr-FR" sz="900" baseline="0">
                  <a:solidFill>
                    <a:schemeClr val="bg1">
                      <a:lumMod val="50000"/>
                    </a:schemeClr>
                  </a:solidFill>
                  <a:latin typeface="Arial" pitchFamily="34" charset="0"/>
                  <a:cs typeface="Arial" pitchFamily="34" charset="0"/>
                </a:rPr>
                <a:t>Median</a:t>
              </a:r>
              <a:r>
                <a:rPr lang="fr-FR" sz="900">
                  <a:solidFill>
                    <a:schemeClr val="bg1">
                      <a:lumMod val="50000"/>
                    </a:schemeClr>
                  </a:solidFill>
                  <a:latin typeface="Arial" pitchFamily="34" charset="0"/>
                  <a:cs typeface="Arial" pitchFamily="34" charset="0"/>
                </a:rPr>
                <a:t> </a:t>
              </a:r>
            </a:p>
          </cdr:txBody>
        </cdr:sp>
      </cdr:grpSp>
      <cdr:sp macro="" textlink="">
        <cdr:nvSpPr>
          <cdr:cNvPr id="12" name="ZoneTexte 11"/>
          <cdr:cNvSpPr txBox="1"/>
        </cdr:nvSpPr>
        <cdr:spPr>
          <a:xfrm xmlns:a="http://schemas.openxmlformats.org/drawingml/2006/main">
            <a:off x="198521" y="40896"/>
            <a:ext cx="1308101" cy="565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0">
                <a:latin typeface="Arial" pitchFamily="34" charset="0"/>
                <a:cs typeface="Arial" pitchFamily="34" charset="0"/>
              </a:rPr>
              <a:t>NRAs</a:t>
            </a:r>
            <a:r>
              <a:rPr lang="fr-FR" sz="1000" b="0" baseline="0">
                <a:latin typeface="Arial" pitchFamily="34" charset="0"/>
                <a:cs typeface="Arial" pitchFamily="34" charset="0"/>
              </a:rPr>
              <a:t> WACC ranges</a:t>
            </a:r>
            <a:br>
              <a:rPr lang="fr-FR" sz="1000" b="0" baseline="0">
                <a:latin typeface="Arial" pitchFamily="34" charset="0"/>
                <a:cs typeface="Arial" pitchFamily="34" charset="0"/>
              </a:rPr>
            </a:br>
            <a:r>
              <a:rPr lang="fr-FR" sz="1000" b="1" baseline="0">
                <a:latin typeface="Arial" pitchFamily="34" charset="0"/>
                <a:cs typeface="Arial" pitchFamily="34" charset="0"/>
              </a:rPr>
              <a:t>BIPT ranking</a:t>
            </a:r>
            <a:r>
              <a:rPr lang="fr-FR" sz="1000" baseline="0">
                <a:latin typeface="Arial" pitchFamily="34" charset="0"/>
                <a:cs typeface="Arial" pitchFamily="34" charset="0"/>
              </a:rPr>
              <a:t/>
            </a:r>
            <a:br>
              <a:rPr lang="fr-FR" sz="1000" baseline="0">
                <a:latin typeface="Arial" pitchFamily="34" charset="0"/>
                <a:cs typeface="Arial" pitchFamily="34" charset="0"/>
              </a:rPr>
            </a:br>
            <a:r>
              <a:rPr lang="fr-FR" sz="900" baseline="0">
                <a:latin typeface="Arial" pitchFamily="34" charset="0"/>
                <a:cs typeface="Arial" pitchFamily="34" charset="0"/>
              </a:rPr>
              <a:t>(</a:t>
            </a:r>
            <a:r>
              <a:rPr lang="fr-FR" sz="900" baseline="0">
                <a:latin typeface="Arial" pitchFamily="34" charset="0"/>
                <a:ea typeface="+mn-ea"/>
                <a:cs typeface="Arial" pitchFamily="34" charset="0"/>
              </a:rPr>
              <a:t>f</a:t>
            </a:r>
            <a:r>
              <a:rPr lang="fr-FR" sz="900">
                <a:latin typeface="Arial" pitchFamily="34" charset="0"/>
                <a:ea typeface="+mn-ea"/>
                <a:cs typeface="Arial" pitchFamily="34" charset="0"/>
              </a:rPr>
              <a:t>rom low to high)</a:t>
            </a:r>
            <a:endParaRPr lang="fr-FR" sz="900">
              <a:latin typeface="Arial" pitchFamily="34" charset="0"/>
              <a:cs typeface="Arial" pitchFamily="34" charset="0"/>
            </a:endParaRPr>
          </a:p>
        </cdr:txBody>
      </cdr:sp>
    </cdr:grpSp>
  </cdr:relSizeAnchor>
  <cdr:relSizeAnchor xmlns:cdr="http://schemas.openxmlformats.org/drawingml/2006/chartDrawing">
    <cdr:from>
      <cdr:x>0.05321</cdr:x>
      <cdr:y>0.46261</cdr:y>
    </cdr:from>
    <cdr:to>
      <cdr:x>0.93412</cdr:x>
      <cdr:y>0.46261</cdr:y>
    </cdr:to>
    <cdr:sp macro="" textlink="">
      <cdr:nvSpPr>
        <cdr:cNvPr id="16" name="Connecteur droit 15"/>
        <cdr:cNvSpPr/>
      </cdr:nvSpPr>
      <cdr:spPr>
        <a:xfrm xmlns:a="http://schemas.openxmlformats.org/drawingml/2006/main">
          <a:off x="214610" y="873436"/>
          <a:ext cx="3553200" cy="0"/>
        </a:xfrm>
        <a:prstGeom xmlns:a="http://schemas.openxmlformats.org/drawingml/2006/main" prst="line">
          <a:avLst/>
        </a:prstGeom>
        <a:ln xmlns:a="http://schemas.openxmlformats.org/drawingml/2006/main">
          <a:solidFill>
            <a:schemeClr val="tx1"/>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58</xdr:col>
      <xdr:colOff>38948</xdr:colOff>
      <xdr:row>3</xdr:row>
      <xdr:rowOff>78739</xdr:rowOff>
    </xdr:from>
    <xdr:to>
      <xdr:col>65</xdr:col>
      <xdr:colOff>394548</xdr:colOff>
      <xdr:row>31</xdr:row>
      <xdr:rowOff>27940</xdr:rowOff>
    </xdr:to>
    <xdr:graphicFrame macro="">
      <xdr:nvGraphicFramePr>
        <xdr:cNvPr id="17" name="Graphique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64</xdr:col>
      <xdr:colOff>22121</xdr:colOff>
      <xdr:row>15</xdr:row>
      <xdr:rowOff>79169</xdr:rowOff>
    </xdr:from>
    <xdr:to>
      <xdr:col>64</xdr:col>
      <xdr:colOff>22121</xdr:colOff>
      <xdr:row>29</xdr:row>
      <xdr:rowOff>16526</xdr:rowOff>
    </xdr:to>
    <xdr:cxnSp macro="">
      <xdr:nvCxnSpPr>
        <xdr:cNvPr id="21" name="Connecteur droit avec flèche 20"/>
        <xdr:cNvCxnSpPr/>
      </xdr:nvCxnSpPr>
      <xdr:spPr>
        <a:xfrm flipH="1" flipV="1">
          <a:off x="39612254" y="2619169"/>
          <a:ext cx="0" cy="2308024"/>
        </a:xfrm>
        <a:prstGeom prst="straightConnector1">
          <a:avLst/>
        </a:prstGeom>
        <a:ln w="12700">
          <a:solidFill>
            <a:srgbClr val="FFC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441651</xdr:colOff>
      <xdr:row>17</xdr:row>
      <xdr:rowOff>136659</xdr:rowOff>
    </xdr:from>
    <xdr:to>
      <xdr:col>63</xdr:col>
      <xdr:colOff>441651</xdr:colOff>
      <xdr:row>29</xdr:row>
      <xdr:rowOff>13604</xdr:rowOff>
    </xdr:to>
    <xdr:cxnSp macro="">
      <xdr:nvCxnSpPr>
        <xdr:cNvPr id="19" name="Connecteur droit avec flèche 18"/>
        <xdr:cNvCxnSpPr/>
      </xdr:nvCxnSpPr>
      <xdr:spPr>
        <a:xfrm flipH="1" flipV="1">
          <a:off x="38687124" y="2962986"/>
          <a:ext cx="0" cy="1872000"/>
        </a:xfrm>
        <a:prstGeom prst="straightConnector1">
          <a:avLst/>
        </a:prstGeom>
        <a:ln w="19050">
          <a:solidFill>
            <a:srgbClr val="FFC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596901</xdr:colOff>
      <xdr:row>6</xdr:row>
      <xdr:rowOff>133774</xdr:rowOff>
    </xdr:from>
    <xdr:to>
      <xdr:col>81</xdr:col>
      <xdr:colOff>153247</xdr:colOff>
      <xdr:row>31</xdr:row>
      <xdr:rowOff>33867</xdr:rowOff>
    </xdr:to>
    <xdr:graphicFrame macro="">
      <xdr:nvGraphicFramePr>
        <xdr:cNvPr id="26" name="Graphique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83</xdr:col>
      <xdr:colOff>110067</xdr:colOff>
      <xdr:row>7</xdr:row>
      <xdr:rowOff>152400</xdr:rowOff>
    </xdr:from>
    <xdr:to>
      <xdr:col>88</xdr:col>
      <xdr:colOff>1058334</xdr:colOff>
      <xdr:row>31</xdr:row>
      <xdr:rowOff>67734</xdr:rowOff>
    </xdr:to>
    <xdr:graphicFrame macro="">
      <xdr:nvGraphicFramePr>
        <xdr:cNvPr id="27" name="Graphique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50</xdr:col>
      <xdr:colOff>313263</xdr:colOff>
      <xdr:row>7</xdr:row>
      <xdr:rowOff>160866</xdr:rowOff>
    </xdr:from>
    <xdr:to>
      <xdr:col>57</xdr:col>
      <xdr:colOff>388620</xdr:colOff>
      <xdr:row>30</xdr:row>
      <xdr:rowOff>137886</xdr:rowOff>
    </xdr:to>
    <xdr:graphicFrame macro="">
      <xdr:nvGraphicFramePr>
        <xdr:cNvPr id="29" name="Graphique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66</xdr:col>
      <xdr:colOff>294732</xdr:colOff>
      <xdr:row>7</xdr:row>
      <xdr:rowOff>80554</xdr:rowOff>
    </xdr:from>
    <xdr:to>
      <xdr:col>73</xdr:col>
      <xdr:colOff>480060</xdr:colOff>
      <xdr:row>31</xdr:row>
      <xdr:rowOff>8770</xdr:rowOff>
    </xdr:to>
    <xdr:graphicFrame macro="">
      <xdr:nvGraphicFramePr>
        <xdr:cNvPr id="31" name="Graphique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41</xdr:col>
      <xdr:colOff>761999</xdr:colOff>
      <xdr:row>52</xdr:row>
      <xdr:rowOff>160867</xdr:rowOff>
    </xdr:from>
    <xdr:to>
      <xdr:col>47</xdr:col>
      <xdr:colOff>752475</xdr:colOff>
      <xdr:row>63</xdr:row>
      <xdr:rowOff>135465</xdr:rowOff>
    </xdr:to>
    <xdr:graphicFrame macro="">
      <xdr:nvGraphicFramePr>
        <xdr:cNvPr id="10" name="Graphique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0.79514</cdr:x>
      <cdr:y>0.43109</cdr:y>
    </cdr:from>
    <cdr:to>
      <cdr:x>0.98996</cdr:x>
      <cdr:y>0.49015</cdr:y>
    </cdr:to>
    <cdr:sp macro="" textlink="">
      <cdr:nvSpPr>
        <cdr:cNvPr id="3" name="ZoneTexte 1"/>
        <cdr:cNvSpPr txBox="1"/>
      </cdr:nvSpPr>
      <cdr:spPr>
        <a:xfrm xmlns:a="http://schemas.openxmlformats.org/drawingml/2006/main">
          <a:off x="4693674" y="2001582"/>
          <a:ext cx="1150018" cy="274259"/>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1200">
              <a:latin typeface="Arial" pitchFamily="34" charset="0"/>
              <a:cs typeface="Arial" pitchFamily="34" charset="0"/>
            </a:rPr>
            <a:t>Median </a:t>
          </a:r>
          <a:r>
            <a:rPr lang="fr-FR" sz="1200" baseline="0">
              <a:latin typeface="Arial" pitchFamily="34" charset="0"/>
              <a:cs typeface="Arial" pitchFamily="34" charset="0"/>
            </a:rPr>
            <a:t>9.7%*</a:t>
          </a:r>
          <a:r>
            <a:rPr lang="fr-FR" sz="1200">
              <a:latin typeface="Arial" pitchFamily="34" charset="0"/>
              <a:cs typeface="Arial" pitchFamily="34" charset="0"/>
            </a:rPr>
            <a:t> </a:t>
          </a:r>
        </a:p>
      </cdr:txBody>
    </cdr:sp>
  </cdr:relSizeAnchor>
  <cdr:relSizeAnchor xmlns:cdr="http://schemas.openxmlformats.org/drawingml/2006/chartDrawing">
    <cdr:from>
      <cdr:x>0.79514</cdr:x>
      <cdr:y>0.58264</cdr:y>
    </cdr:from>
    <cdr:to>
      <cdr:x>0.97629</cdr:x>
      <cdr:y>0.6565</cdr:y>
    </cdr:to>
    <cdr:sp macro="" textlink="">
      <cdr:nvSpPr>
        <cdr:cNvPr id="4" name="ZoneTexte 1"/>
        <cdr:cNvSpPr txBox="1"/>
      </cdr:nvSpPr>
      <cdr:spPr>
        <a:xfrm xmlns:a="http://schemas.openxmlformats.org/drawingml/2006/main">
          <a:off x="4712528" y="2732893"/>
          <a:ext cx="1073590" cy="346435"/>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Arial" pitchFamily="34" charset="0"/>
              <a:cs typeface="Arial" pitchFamily="34" charset="0"/>
            </a:rPr>
            <a:t>* Excl. BIPT 2013</a:t>
          </a:r>
          <a:br>
            <a:rPr lang="fr-FR" sz="900">
              <a:latin typeface="Arial" pitchFamily="34" charset="0"/>
              <a:cs typeface="Arial" pitchFamily="34" charset="0"/>
            </a:rPr>
          </a:br>
          <a:r>
            <a:rPr lang="fr-FR" sz="900">
              <a:latin typeface="Arial" pitchFamily="34" charset="0"/>
              <a:cs typeface="Arial" pitchFamily="34" charset="0"/>
            </a:rPr>
            <a:t>&amp; NL (Nera)</a:t>
          </a:r>
        </a:p>
      </cdr:txBody>
    </cdr:sp>
  </cdr:relSizeAnchor>
  <cdr:relSizeAnchor xmlns:cdr="http://schemas.openxmlformats.org/drawingml/2006/chartDrawing">
    <cdr:from>
      <cdr:x>0.79514</cdr:x>
      <cdr:y>0.51387</cdr:y>
    </cdr:from>
    <cdr:to>
      <cdr:x>0.98609</cdr:x>
      <cdr:y>0.56893</cdr:y>
    </cdr:to>
    <cdr:sp macro="" textlink="">
      <cdr:nvSpPr>
        <cdr:cNvPr id="2" name="ZoneTexte 1"/>
        <cdr:cNvSpPr txBox="1"/>
      </cdr:nvSpPr>
      <cdr:spPr>
        <a:xfrm xmlns:a="http://schemas.openxmlformats.org/drawingml/2006/main">
          <a:off x="4693674" y="2385956"/>
          <a:ext cx="1127158" cy="25564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pPr algn="l"/>
          <a:r>
            <a:rPr lang="fr-FR" sz="1200">
              <a:latin typeface="Arial" pitchFamily="34" charset="0"/>
              <a:cs typeface="Arial" pitchFamily="34" charset="0"/>
            </a:rPr>
            <a:t>Average</a:t>
          </a:r>
          <a:r>
            <a:rPr lang="fr-FR" sz="1200" baseline="0">
              <a:latin typeface="Arial" pitchFamily="34" charset="0"/>
              <a:cs typeface="Arial" pitchFamily="34" charset="0"/>
            </a:rPr>
            <a:t> 8.8%*</a:t>
          </a:r>
          <a:r>
            <a:rPr lang="fr-FR" sz="1200">
              <a:latin typeface="Arial" pitchFamily="34" charset="0"/>
              <a:cs typeface="Arial" pitchFamily="34" charset="0"/>
            </a:rPr>
            <a:t> </a:t>
          </a:r>
        </a:p>
      </cdr:txBody>
    </cdr:sp>
  </cdr:relSizeAnchor>
  <cdr:relSizeAnchor xmlns:cdr="http://schemas.openxmlformats.org/drawingml/2006/chartDrawing">
    <cdr:from>
      <cdr:x>0.79514</cdr:x>
      <cdr:y>0.85831</cdr:y>
    </cdr:from>
    <cdr:to>
      <cdr:x>0.95769</cdr:x>
      <cdr:y>0.907</cdr:y>
    </cdr:to>
    <cdr:sp macro="" textlink="">
      <cdr:nvSpPr>
        <cdr:cNvPr id="5" name="ZoneTexte 1"/>
        <cdr:cNvSpPr txBox="1"/>
      </cdr:nvSpPr>
      <cdr:spPr>
        <a:xfrm xmlns:a="http://schemas.openxmlformats.org/drawingml/2006/main">
          <a:off x="4693674" y="3985260"/>
          <a:ext cx="959518" cy="226061"/>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200" baseline="0">
              <a:solidFill>
                <a:sysClr val="windowText" lastClr="000000"/>
              </a:solidFill>
              <a:latin typeface="Arial" pitchFamily="34" charset="0"/>
              <a:cs typeface="Arial" pitchFamily="34" charset="0"/>
            </a:rPr>
            <a:t>Fixed WACC</a:t>
          </a:r>
          <a:endParaRPr lang="fr-FR" sz="1200">
            <a:solidFill>
              <a:sysClr val="windowText" lastClr="000000"/>
            </a:solidFill>
            <a:latin typeface="Arial" pitchFamily="34" charset="0"/>
            <a:cs typeface="Arial"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0.72507</cdr:x>
      <cdr:y>0.62535</cdr:y>
    </cdr:from>
    <cdr:to>
      <cdr:x>0.89401</cdr:x>
      <cdr:y>0.67377</cdr:y>
    </cdr:to>
    <cdr:sp macro="" textlink="">
      <cdr:nvSpPr>
        <cdr:cNvPr id="4" name="ZoneTexte 1"/>
        <cdr:cNvSpPr txBox="1"/>
      </cdr:nvSpPr>
      <cdr:spPr>
        <a:xfrm xmlns:a="http://schemas.openxmlformats.org/drawingml/2006/main">
          <a:off x="4275124" y="2558350"/>
          <a:ext cx="996101" cy="198091"/>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Arial" pitchFamily="34" charset="0"/>
              <a:cs typeface="Arial" pitchFamily="34" charset="0"/>
            </a:rPr>
            <a:t>* Excl. BIPT 2013</a:t>
          </a:r>
        </a:p>
      </cdr:txBody>
    </cdr:sp>
  </cdr:relSizeAnchor>
  <cdr:relSizeAnchor xmlns:cdr="http://schemas.openxmlformats.org/drawingml/2006/chartDrawing">
    <cdr:from>
      <cdr:x>0.72507</cdr:x>
      <cdr:y>0.38921</cdr:y>
    </cdr:from>
    <cdr:to>
      <cdr:x>0.93536</cdr:x>
      <cdr:y>0.4951</cdr:y>
    </cdr:to>
    <cdr:sp macro="" textlink="">
      <cdr:nvSpPr>
        <cdr:cNvPr id="3" name="ZoneTexte 1"/>
        <cdr:cNvSpPr txBox="1"/>
      </cdr:nvSpPr>
      <cdr:spPr>
        <a:xfrm xmlns:a="http://schemas.openxmlformats.org/drawingml/2006/main">
          <a:off x="4275124" y="1592296"/>
          <a:ext cx="1239912" cy="433218"/>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1200">
              <a:latin typeface="Arial" pitchFamily="34" charset="0"/>
              <a:cs typeface="Arial" pitchFamily="34" charset="0"/>
            </a:rPr>
            <a:t>Median </a:t>
          </a:r>
          <a:r>
            <a:rPr lang="fr-FR" sz="1200" baseline="0">
              <a:latin typeface="Arial" pitchFamily="34" charset="0"/>
              <a:cs typeface="Arial" pitchFamily="34" charset="0"/>
            </a:rPr>
            <a:t>10.1%*</a:t>
          </a:r>
        </a:p>
        <a:p xmlns:a="http://schemas.openxmlformats.org/drawingml/2006/main">
          <a:pPr algn="l"/>
          <a:r>
            <a:rPr lang="fr-FR" sz="1200" baseline="0">
              <a:latin typeface="Arial" pitchFamily="34" charset="0"/>
              <a:cs typeface="Arial" pitchFamily="34" charset="0"/>
            </a:rPr>
            <a:t>Average 9.7%</a:t>
          </a:r>
          <a:r>
            <a:rPr lang="fr-FR" sz="1200">
              <a:latin typeface="Arial" pitchFamily="34" charset="0"/>
              <a:cs typeface="Arial" pitchFamily="34" charset="0"/>
            </a:rPr>
            <a:t>*</a:t>
          </a:r>
        </a:p>
      </cdr:txBody>
    </cdr:sp>
  </cdr:relSizeAnchor>
  <cdr:relSizeAnchor xmlns:cdr="http://schemas.openxmlformats.org/drawingml/2006/chartDrawing">
    <cdr:from>
      <cdr:x>0.67671</cdr:x>
      <cdr:y>0.44032</cdr:y>
    </cdr:from>
    <cdr:to>
      <cdr:x>0.67671</cdr:x>
      <cdr:y>0.9155</cdr:y>
    </cdr:to>
    <cdr:sp macro="" textlink="">
      <cdr:nvSpPr>
        <cdr:cNvPr id="6" name="Connecteur droit avec flèche 5"/>
        <cdr:cNvSpPr/>
      </cdr:nvSpPr>
      <cdr:spPr>
        <a:xfrm xmlns:a="http://schemas.openxmlformats.org/drawingml/2006/main" flipV="1">
          <a:off x="3983660" y="1827191"/>
          <a:ext cx="0" cy="1971853"/>
        </a:xfrm>
        <a:prstGeom xmlns:a="http://schemas.openxmlformats.org/drawingml/2006/main" prst="straightConnector1">
          <a:avLst/>
        </a:prstGeom>
        <a:ln xmlns:a="http://schemas.openxmlformats.org/drawingml/2006/main" w="1905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0.69384</cdr:x>
      <cdr:y>0.43592</cdr:y>
    </cdr:from>
    <cdr:to>
      <cdr:x>0.69384</cdr:x>
      <cdr:y>0.9155</cdr:y>
    </cdr:to>
    <cdr:sp macro="" textlink="">
      <cdr:nvSpPr>
        <cdr:cNvPr id="7" name="Connecteur droit avec flèche 6"/>
        <cdr:cNvSpPr/>
      </cdr:nvSpPr>
      <cdr:spPr>
        <a:xfrm xmlns:a="http://schemas.openxmlformats.org/drawingml/2006/main" flipV="1">
          <a:off x="4084514" y="1808932"/>
          <a:ext cx="0" cy="1990112"/>
        </a:xfrm>
        <a:prstGeom xmlns:a="http://schemas.openxmlformats.org/drawingml/2006/main" prst="straightConnector1">
          <a:avLst/>
        </a:prstGeom>
        <a:ln xmlns:a="http://schemas.openxmlformats.org/drawingml/2006/main" w="1270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0.72507</cdr:x>
      <cdr:y>0.83486</cdr:y>
    </cdr:from>
    <cdr:to>
      <cdr:x>0.90838</cdr:x>
      <cdr:y>0.89074</cdr:y>
    </cdr:to>
    <cdr:sp macro="" textlink="">
      <cdr:nvSpPr>
        <cdr:cNvPr id="11" name="ZoneTexte 1"/>
        <cdr:cNvSpPr txBox="1"/>
      </cdr:nvSpPr>
      <cdr:spPr>
        <a:xfrm xmlns:a="http://schemas.openxmlformats.org/drawingml/2006/main">
          <a:off x="4294768" y="3450835"/>
          <a:ext cx="1085798" cy="230967"/>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fr-FR" sz="1200" baseline="0">
              <a:solidFill>
                <a:sysClr val="windowText" lastClr="000000"/>
              </a:solidFill>
              <a:latin typeface="Arial" pitchFamily="34" charset="0"/>
              <a:cs typeface="Arial" pitchFamily="34" charset="0"/>
            </a:rPr>
            <a:t>Mobile WACC</a:t>
          </a:r>
          <a:endParaRPr lang="fr-FR" sz="1200">
            <a:solidFill>
              <a:sysClr val="windowText" lastClr="000000"/>
            </a:solidFill>
            <a:latin typeface="Arial" pitchFamily="34" charset="0"/>
            <a:cs typeface="Arial"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0.51232</cdr:x>
      <cdr:y>0.51847</cdr:y>
    </cdr:from>
    <cdr:to>
      <cdr:x>0.93268</cdr:x>
      <cdr:y>0.59574</cdr:y>
    </cdr:to>
    <cdr:sp macro="" textlink="">
      <cdr:nvSpPr>
        <cdr:cNvPr id="3" name="ZoneTexte 1"/>
        <cdr:cNvSpPr txBox="1"/>
      </cdr:nvSpPr>
      <cdr:spPr>
        <a:xfrm xmlns:a="http://schemas.openxmlformats.org/drawingml/2006/main">
          <a:off x="2641616" y="2063166"/>
          <a:ext cx="2167451" cy="307501"/>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1200" baseline="0">
              <a:latin typeface="Arial" pitchFamily="34" charset="0"/>
              <a:cs typeface="Arial" pitchFamily="34" charset="0"/>
            </a:rPr>
            <a:t>Median 0.5%, average 0,4% *</a:t>
          </a:r>
          <a:br>
            <a:rPr lang="fr-FR" sz="1200" baseline="0">
              <a:latin typeface="Arial" pitchFamily="34" charset="0"/>
              <a:cs typeface="Arial" pitchFamily="34" charset="0"/>
            </a:rPr>
          </a:br>
          <a:endParaRPr lang="fr-FR" sz="1200">
            <a:latin typeface="Arial" pitchFamily="34" charset="0"/>
            <a:cs typeface="Arial" pitchFamily="34" charset="0"/>
          </a:endParaRPr>
        </a:p>
      </cdr:txBody>
    </cdr:sp>
  </cdr:relSizeAnchor>
  <cdr:relSizeAnchor xmlns:cdr="http://schemas.openxmlformats.org/drawingml/2006/chartDrawing">
    <cdr:from>
      <cdr:x>0.50082</cdr:x>
      <cdr:y>0.603</cdr:y>
    </cdr:from>
    <cdr:to>
      <cdr:x>0.97537</cdr:x>
      <cdr:y>0.74042</cdr:y>
    </cdr:to>
    <cdr:sp macro="" textlink="">
      <cdr:nvSpPr>
        <cdr:cNvPr id="4" name="ZoneTexte 1"/>
        <cdr:cNvSpPr txBox="1"/>
      </cdr:nvSpPr>
      <cdr:spPr>
        <a:xfrm xmlns:a="http://schemas.openxmlformats.org/drawingml/2006/main">
          <a:off x="2582326" y="2399556"/>
          <a:ext cx="2446875" cy="546840"/>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rPr>
            <a:t>* Excl. BIPT 2013 and Greece (3.9%)</a:t>
          </a:r>
        </a:p>
        <a:p xmlns:a="http://schemas.openxmlformats.org/drawingml/2006/main">
          <a:r>
            <a:rPr lang="fr-FR" sz="1000">
              <a:latin typeface="Arial" pitchFamily="34" charset="0"/>
              <a:cs typeface="Arial" pitchFamily="34" charset="0"/>
            </a:rPr>
            <a:t>For SE,</a:t>
          </a:r>
          <a:r>
            <a:rPr lang="fr-FR" sz="1000" baseline="0">
              <a:latin typeface="Arial" pitchFamily="34" charset="0"/>
              <a:cs typeface="Arial" pitchFamily="34" charset="0"/>
            </a:rPr>
            <a:t> current spread instead of currrent</a:t>
          </a:r>
          <a:br>
            <a:rPr lang="fr-FR" sz="1000" baseline="0">
              <a:latin typeface="Arial" pitchFamily="34" charset="0"/>
              <a:cs typeface="Arial" pitchFamily="34" charset="0"/>
            </a:rPr>
          </a:br>
          <a:r>
            <a:rPr lang="fr-FR" sz="1000" baseline="0">
              <a:latin typeface="Arial" pitchFamily="34" charset="0"/>
              <a:cs typeface="Arial" pitchFamily="34" charset="0"/>
            </a:rPr>
            <a:t>Mobile (to be updated) - proposed Fixed</a:t>
          </a:r>
          <a:endParaRPr lang="fr-FR" sz="1000">
            <a:latin typeface="Arial" pitchFamily="34" charset="0"/>
            <a:cs typeface="Arial" pitchFamily="34" charset="0"/>
          </a:endParaRPr>
        </a:p>
      </cdr:txBody>
    </cdr:sp>
  </cdr:relSizeAnchor>
  <cdr:relSizeAnchor xmlns:cdr="http://schemas.openxmlformats.org/drawingml/2006/chartDrawing">
    <cdr:from>
      <cdr:x>0.47269</cdr:x>
      <cdr:y>0.5617</cdr:y>
    </cdr:from>
    <cdr:to>
      <cdr:x>0.47269</cdr:x>
      <cdr:y>0.91114</cdr:y>
    </cdr:to>
    <cdr:sp macro="" textlink="">
      <cdr:nvSpPr>
        <cdr:cNvPr id="6" name="Connecteur droit avec flèche 5"/>
        <cdr:cNvSpPr/>
      </cdr:nvSpPr>
      <cdr:spPr>
        <a:xfrm xmlns:a="http://schemas.openxmlformats.org/drawingml/2006/main" flipH="1" flipV="1">
          <a:off x="2437302" y="2235200"/>
          <a:ext cx="0" cy="1390539"/>
        </a:xfrm>
        <a:prstGeom xmlns:a="http://schemas.openxmlformats.org/drawingml/2006/main" prst="straightConnector1">
          <a:avLst/>
        </a:prstGeom>
        <a:ln xmlns:a="http://schemas.openxmlformats.org/drawingml/2006/main" w="1905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0.66455</cdr:x>
      <cdr:y>0.82357</cdr:y>
    </cdr:from>
    <cdr:to>
      <cdr:x>0.96184</cdr:x>
      <cdr:y>0.89006</cdr:y>
    </cdr:to>
    <cdr:sp macro="" textlink="">
      <cdr:nvSpPr>
        <cdr:cNvPr id="5" name="ZoneTexte 1"/>
        <cdr:cNvSpPr txBox="1"/>
      </cdr:nvSpPr>
      <cdr:spPr>
        <a:xfrm xmlns:a="http://schemas.openxmlformats.org/drawingml/2006/main">
          <a:off x="3539068" y="3298188"/>
          <a:ext cx="1583266" cy="266277"/>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a:r>
            <a:rPr lang="fr-FR" sz="1200" baseline="0">
              <a:solidFill>
                <a:sysClr val="windowText" lastClr="000000"/>
              </a:solidFill>
              <a:latin typeface="Arial" pitchFamily="34" charset="0"/>
              <a:cs typeface="Arial" pitchFamily="34" charset="0"/>
            </a:rPr>
            <a:t>Mobile - Fixed WACC</a:t>
          </a:r>
          <a:endParaRPr lang="fr-FR" sz="1200">
            <a:solidFill>
              <a:sysClr val="windowText" lastClr="000000"/>
            </a:solidFill>
            <a:latin typeface="Arial" pitchFamily="34" charset="0"/>
            <a:cs typeface="Arial" pitchFamily="34" charset="0"/>
          </a:endParaRPr>
        </a:p>
      </cdr:txBody>
    </cdr:sp>
  </cdr:relSizeAnchor>
  <cdr:relSizeAnchor xmlns:cdr="http://schemas.openxmlformats.org/drawingml/2006/chartDrawing">
    <cdr:from>
      <cdr:x>0.50261</cdr:x>
      <cdr:y>0.50404</cdr:y>
    </cdr:from>
    <cdr:to>
      <cdr:x>0.50261</cdr:x>
      <cdr:y>0.91114</cdr:y>
    </cdr:to>
    <cdr:sp macro="" textlink="">
      <cdr:nvSpPr>
        <cdr:cNvPr id="7" name="Connecteur droit avec flèche 6"/>
        <cdr:cNvSpPr/>
      </cdr:nvSpPr>
      <cdr:spPr>
        <a:xfrm xmlns:a="http://schemas.openxmlformats.org/drawingml/2006/main" flipV="1">
          <a:off x="2586532" y="1968495"/>
          <a:ext cx="0" cy="1589919"/>
        </a:xfrm>
        <a:prstGeom xmlns:a="http://schemas.openxmlformats.org/drawingml/2006/main" prst="straightConnector1">
          <a:avLst/>
        </a:prstGeom>
        <a:ln xmlns:a="http://schemas.openxmlformats.org/drawingml/2006/main" w="1905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fr-FR"/>
        </a:p>
      </cdr:txBody>
    </cdr:sp>
  </cdr:relSizeAnchor>
</c:userShapes>
</file>

<file path=xl/drawings/drawing7.xml><?xml version="1.0" encoding="utf-8"?>
<c:userShapes xmlns:c="http://schemas.openxmlformats.org/drawingml/2006/chart">
  <cdr:relSizeAnchor xmlns:cdr="http://schemas.openxmlformats.org/drawingml/2006/chartDrawing">
    <cdr:from>
      <cdr:x>0.21305</cdr:x>
      <cdr:y>0.1101</cdr:y>
    </cdr:from>
    <cdr:to>
      <cdr:x>0.33555</cdr:x>
      <cdr:y>0.18421</cdr:y>
    </cdr:to>
    <cdr:sp macro="" textlink="">
      <cdr:nvSpPr>
        <cdr:cNvPr id="2" name="ZoneTexte 1"/>
        <cdr:cNvSpPr txBox="1"/>
      </cdr:nvSpPr>
      <cdr:spPr>
        <a:xfrm xmlns:a="http://schemas.openxmlformats.org/drawingml/2006/main">
          <a:off x="1354669" y="440268"/>
          <a:ext cx="778933" cy="29633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200">
              <a:solidFill>
                <a:schemeClr val="bg1">
                  <a:lumMod val="50000"/>
                </a:schemeClr>
              </a:solidFill>
              <a:latin typeface="Arial" pitchFamily="34" charset="0"/>
              <a:cs typeface="Arial" pitchFamily="34" charset="0"/>
            </a:rPr>
            <a:t>BIPT 2008</a:t>
          </a:r>
        </a:p>
      </cdr:txBody>
    </cdr:sp>
  </cdr:relSizeAnchor>
  <cdr:relSizeAnchor xmlns:cdr="http://schemas.openxmlformats.org/drawingml/2006/chartDrawing">
    <cdr:from>
      <cdr:x>0.0901</cdr:x>
      <cdr:y>0.03777</cdr:y>
    </cdr:from>
    <cdr:to>
      <cdr:x>0.21261</cdr:x>
      <cdr:y>0.11188</cdr:y>
    </cdr:to>
    <cdr:sp macro="" textlink="">
      <cdr:nvSpPr>
        <cdr:cNvPr id="6" name="ZoneTexte 1"/>
        <cdr:cNvSpPr txBox="1"/>
      </cdr:nvSpPr>
      <cdr:spPr>
        <a:xfrm xmlns:a="http://schemas.openxmlformats.org/drawingml/2006/main">
          <a:off x="533400" y="144780"/>
          <a:ext cx="725206" cy="28403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aseline="0">
              <a:solidFill>
                <a:sysClr val="windowText" lastClr="000000"/>
              </a:solidFill>
              <a:latin typeface="Arial" pitchFamily="34" charset="0"/>
              <a:cs typeface="Arial" pitchFamily="34" charset="0"/>
            </a:rPr>
            <a:t>Fixed WACC</a:t>
          </a:r>
          <a:endParaRPr lang="fr-FR" sz="1200">
            <a:solidFill>
              <a:sysClr val="windowText" lastClr="000000"/>
            </a:solidFill>
            <a:latin typeface="Arial" pitchFamily="34" charset="0"/>
            <a:cs typeface="Arial"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0.07781</cdr:x>
      <cdr:y>0.12355</cdr:y>
    </cdr:from>
    <cdr:to>
      <cdr:x>0.21009</cdr:x>
      <cdr:y>0.21216</cdr:y>
    </cdr:to>
    <cdr:sp macro="" textlink="">
      <cdr:nvSpPr>
        <cdr:cNvPr id="2" name="ZoneTexte 1"/>
        <cdr:cNvSpPr txBox="1"/>
      </cdr:nvSpPr>
      <cdr:spPr>
        <a:xfrm xmlns:a="http://schemas.openxmlformats.org/drawingml/2006/main">
          <a:off x="473912" y="488231"/>
          <a:ext cx="805685" cy="35013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200">
              <a:solidFill>
                <a:schemeClr val="bg1">
                  <a:lumMod val="50000"/>
                </a:schemeClr>
              </a:solidFill>
              <a:latin typeface="Arial" pitchFamily="34" charset="0"/>
              <a:cs typeface="Arial" pitchFamily="34" charset="0"/>
              <a:sym typeface="Symbol"/>
            </a:rPr>
            <a:t> </a:t>
          </a:r>
          <a:r>
            <a:rPr lang="fr-FR" sz="1200">
              <a:solidFill>
                <a:schemeClr val="bg1">
                  <a:lumMod val="50000"/>
                </a:schemeClr>
              </a:solidFill>
              <a:latin typeface="Arial" pitchFamily="34" charset="0"/>
              <a:cs typeface="Arial" pitchFamily="34" charset="0"/>
            </a:rPr>
            <a:t>BIPT 2006</a:t>
          </a:r>
        </a:p>
      </cdr:txBody>
    </cdr:sp>
  </cdr:relSizeAnchor>
  <cdr:relSizeAnchor xmlns:cdr="http://schemas.openxmlformats.org/drawingml/2006/chartDrawing">
    <cdr:from>
      <cdr:x>0.08223</cdr:x>
      <cdr:y>0.02893</cdr:y>
    </cdr:from>
    <cdr:to>
      <cdr:x>0.28162</cdr:x>
      <cdr:y>0.1008</cdr:y>
    </cdr:to>
    <cdr:sp macro="" textlink="">
      <cdr:nvSpPr>
        <cdr:cNvPr id="3" name="ZoneTexte 1"/>
        <cdr:cNvSpPr txBox="1"/>
      </cdr:nvSpPr>
      <cdr:spPr>
        <a:xfrm xmlns:a="http://schemas.openxmlformats.org/drawingml/2006/main">
          <a:off x="525780" y="114300"/>
          <a:ext cx="1274988" cy="28403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200" baseline="0">
              <a:solidFill>
                <a:sysClr val="windowText" lastClr="000000"/>
              </a:solidFill>
              <a:latin typeface="Arial" pitchFamily="34" charset="0"/>
              <a:cs typeface="Arial" pitchFamily="34" charset="0"/>
            </a:rPr>
            <a:t>Mobile WACC</a:t>
          </a:r>
          <a:endParaRPr lang="fr-FR" sz="1200">
            <a:solidFill>
              <a:sysClr val="windowText" lastClr="000000"/>
            </a:solidFill>
            <a:latin typeface="Arial" pitchFamily="34" charset="0"/>
            <a:cs typeface="Arial"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0.03167</cdr:x>
      <cdr:y>0.06925</cdr:y>
    </cdr:from>
    <cdr:to>
      <cdr:x>0.95883</cdr:x>
      <cdr:y>0.78912</cdr:y>
    </cdr:to>
    <cdr:grpSp>
      <cdr:nvGrpSpPr>
        <cdr:cNvPr id="14" name="Groupe 13"/>
        <cdr:cNvGrpSpPr/>
      </cdr:nvGrpSpPr>
      <cdr:grpSpPr>
        <a:xfrm xmlns:a="http://schemas.openxmlformats.org/drawingml/2006/main">
          <a:off x="158705" y="127817"/>
          <a:ext cx="4646193" cy="1328687"/>
          <a:chOff x="158751" y="124883"/>
          <a:chExt cx="4648200" cy="1298221"/>
        </a:xfrm>
      </cdr:grpSpPr>
      <cdr:grpSp>
        <cdr:nvGrpSpPr>
          <cdr:cNvPr id="11" name="Groupe 10"/>
          <cdr:cNvGrpSpPr/>
        </cdr:nvGrpSpPr>
        <cdr:grpSpPr>
          <a:xfrm xmlns:a="http://schemas.openxmlformats.org/drawingml/2006/main">
            <a:off x="585652" y="184413"/>
            <a:ext cx="4221299" cy="1238691"/>
            <a:chOff x="585651" y="184413"/>
            <a:chExt cx="4221300" cy="1238690"/>
          </a:xfrm>
        </cdr:grpSpPr>
        <cdr:sp macro="" textlink="">
          <cdr:nvSpPr>
            <cdr:cNvPr id="2" name="ZoneTexte 1"/>
            <cdr:cNvSpPr txBox="1"/>
          </cdr:nvSpPr>
          <cdr:spPr>
            <a:xfrm xmlns:a="http://schemas.openxmlformats.org/drawingml/2006/main">
              <a:off x="585651" y="1202078"/>
              <a:ext cx="1127698" cy="2210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latin typeface="Arial" pitchFamily="34" charset="0"/>
                  <a:cs typeface="Arial" pitchFamily="34" charset="0"/>
                </a:rPr>
                <a:t>Fixed</a:t>
              </a:r>
              <a:r>
                <a:rPr lang="fr-FR" sz="1000" baseline="0">
                  <a:latin typeface="Arial" pitchFamily="34" charset="0"/>
                  <a:cs typeface="Arial" pitchFamily="34" charset="0"/>
                </a:rPr>
                <a:t> </a:t>
              </a:r>
              <a:r>
                <a:rPr lang="fr-FR" sz="1000">
                  <a:latin typeface="Arial" pitchFamily="34" charset="0"/>
                  <a:cs typeface="Arial" pitchFamily="34" charset="0"/>
                </a:rPr>
                <a:t>2013 (7) </a:t>
              </a:r>
              <a:r>
                <a:rPr lang="fr-FR" sz="1000">
                  <a:latin typeface="Arial" pitchFamily="34" charset="0"/>
                  <a:cs typeface="Arial" pitchFamily="34" charset="0"/>
                  <a:sym typeface="Symbol"/>
                </a:rPr>
                <a:t></a:t>
              </a:r>
              <a:r>
                <a:rPr lang="fr-FR" sz="1000">
                  <a:latin typeface="Arial" pitchFamily="34" charset="0"/>
                  <a:cs typeface="Arial" pitchFamily="34" charset="0"/>
                </a:rPr>
                <a:t> </a:t>
              </a:r>
            </a:p>
          </cdr:txBody>
        </cdr:sp>
        <cdr:sp macro="" textlink="">
          <cdr:nvSpPr>
            <cdr:cNvPr id="3" name="ZoneTexte 1"/>
            <cdr:cNvSpPr txBox="1"/>
          </cdr:nvSpPr>
          <cdr:spPr>
            <a:xfrm xmlns:a="http://schemas.openxmlformats.org/drawingml/2006/main">
              <a:off x="2534788" y="859751"/>
              <a:ext cx="1569572" cy="22302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M</a:t>
              </a:r>
              <a:r>
                <a:rPr lang="fr-FR" sz="1000" baseline="0">
                  <a:latin typeface="Arial" pitchFamily="34" charset="0"/>
                  <a:cs typeface="Arial" pitchFamily="34" charset="0"/>
                </a:rPr>
                <a:t> </a:t>
              </a:r>
              <a:r>
                <a:rPr lang="fr-FR" sz="1000">
                  <a:latin typeface="Arial" pitchFamily="34" charset="0"/>
                  <a:cs typeface="Arial" pitchFamily="34" charset="0"/>
                </a:rPr>
                <a:t>2010 (8/14) </a:t>
              </a:r>
            </a:p>
          </cdr:txBody>
        </cdr:sp>
        <cdr:sp macro="" textlink="">
          <cdr:nvSpPr>
            <cdr:cNvPr id="4" name="ZoneTexte 1"/>
            <cdr:cNvSpPr txBox="1"/>
          </cdr:nvSpPr>
          <cdr:spPr>
            <a:xfrm xmlns:a="http://schemas.openxmlformats.org/drawingml/2006/main">
              <a:off x="3059295" y="529544"/>
              <a:ext cx="1099956" cy="21334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F 2008 (14/16) </a:t>
              </a:r>
            </a:p>
          </cdr:txBody>
        </cdr:sp>
        <cdr:sp macro="" textlink="">
          <cdr:nvSpPr>
            <cdr:cNvPr id="5" name="ZoneTexte 1"/>
            <cdr:cNvSpPr txBox="1"/>
          </cdr:nvSpPr>
          <cdr:spPr>
            <a:xfrm xmlns:a="http://schemas.openxmlformats.org/drawingml/2006/main">
              <a:off x="3724795" y="184413"/>
              <a:ext cx="1082156" cy="23598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baseline="0">
                  <a:latin typeface="Arial" pitchFamily="34" charset="0"/>
                  <a:cs typeface="Arial" pitchFamily="34" charset="0"/>
                  <a:sym typeface="Symbol"/>
                </a:rPr>
                <a:t> </a:t>
              </a:r>
              <a:r>
                <a:rPr lang="fr-FR" sz="1000" baseline="0">
                  <a:latin typeface="Arial" pitchFamily="34" charset="0"/>
                  <a:cs typeface="Arial" pitchFamily="34" charset="0"/>
                </a:rPr>
                <a:t>M 2006 (7/12)</a:t>
              </a:r>
              <a:endParaRPr lang="fr-FR" sz="1000">
                <a:latin typeface="Arial" pitchFamily="34" charset="0"/>
                <a:cs typeface="Arial" pitchFamily="34" charset="0"/>
              </a:endParaRPr>
            </a:p>
          </cdr:txBody>
        </cdr:sp>
        <cdr:sp macro="" textlink="">
          <cdr:nvSpPr>
            <cdr:cNvPr id="6" name="ZoneTexte 1"/>
            <cdr:cNvSpPr txBox="1"/>
          </cdr:nvSpPr>
          <cdr:spPr>
            <a:xfrm xmlns:a="http://schemas.openxmlformats.org/drawingml/2006/main">
              <a:off x="772245" y="859751"/>
              <a:ext cx="1141248" cy="23033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a:latin typeface="Arial" pitchFamily="34" charset="0"/>
                  <a:cs typeface="Arial" pitchFamily="34" charset="0"/>
                </a:rPr>
                <a:t>Mobile 2013 (5) </a:t>
              </a:r>
              <a:r>
                <a:rPr lang="fr-FR" sz="1000">
                  <a:latin typeface="Arial" pitchFamily="34" charset="0"/>
                  <a:cs typeface="Arial" pitchFamily="34" charset="0"/>
                  <a:sym typeface="Symbol"/>
                </a:rPr>
                <a:t></a:t>
              </a:r>
              <a:r>
                <a:rPr lang="fr-FR" sz="1000">
                  <a:latin typeface="Arial" pitchFamily="34" charset="0"/>
                  <a:cs typeface="Arial" pitchFamily="34" charset="0"/>
                </a:rPr>
                <a:t> </a:t>
              </a:r>
            </a:p>
          </cdr:txBody>
        </cdr:sp>
        <cdr:sp macro="" textlink="">
          <cdr:nvSpPr>
            <cdr:cNvPr id="7" name="ZoneTexte 1"/>
            <cdr:cNvSpPr txBox="1"/>
          </cdr:nvSpPr>
          <cdr:spPr>
            <a:xfrm xmlns:a="http://schemas.openxmlformats.org/drawingml/2006/main">
              <a:off x="2352504" y="1202078"/>
              <a:ext cx="983163" cy="2210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F 2010</a:t>
              </a:r>
              <a:r>
                <a:rPr lang="fr-FR" sz="1000" baseline="0">
                  <a:latin typeface="Arial" pitchFamily="34" charset="0"/>
                  <a:cs typeface="Arial" pitchFamily="34" charset="0"/>
                </a:rPr>
                <a:t> </a:t>
              </a:r>
              <a:r>
                <a:rPr lang="fr-FR" sz="1000">
                  <a:latin typeface="Arial" pitchFamily="34" charset="0"/>
                  <a:cs typeface="Arial" pitchFamily="34" charset="0"/>
                </a:rPr>
                <a:t>(9/16) </a:t>
              </a:r>
            </a:p>
          </cdr:txBody>
        </cdr:sp>
        <cdr:sp macro="" textlink="">
          <cdr:nvSpPr>
            <cdr:cNvPr id="8" name="ZoneTexte 1"/>
            <cdr:cNvSpPr txBox="1"/>
          </cdr:nvSpPr>
          <cdr:spPr>
            <a:xfrm xmlns:a="http://schemas.openxmlformats.org/drawingml/2006/main">
              <a:off x="1759463" y="184413"/>
              <a:ext cx="855775" cy="2249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rPr>
                <a:t>M 2010 (3) </a:t>
              </a:r>
              <a:r>
                <a:rPr lang="fr-FR" sz="1000">
                  <a:latin typeface="Arial" pitchFamily="34" charset="0"/>
                  <a:cs typeface="Arial" pitchFamily="34" charset="0"/>
                  <a:sym typeface="Symbol"/>
                </a:rPr>
                <a:t></a:t>
              </a:r>
              <a:r>
                <a:rPr lang="fr-FR" sz="1000">
                  <a:latin typeface="Arial" pitchFamily="34" charset="0"/>
                  <a:cs typeface="Arial" pitchFamily="34" charset="0"/>
                </a:rPr>
                <a:t>  </a:t>
              </a:r>
            </a:p>
          </cdr:txBody>
        </cdr:sp>
        <cdr:sp macro="" textlink="">
          <cdr:nvSpPr>
            <cdr:cNvPr id="9" name="ZoneTexte 1"/>
            <cdr:cNvSpPr txBox="1"/>
          </cdr:nvSpPr>
          <cdr:spPr>
            <a:xfrm xmlns:a="http://schemas.openxmlformats.org/drawingml/2006/main">
              <a:off x="1604619" y="529544"/>
              <a:ext cx="884582" cy="2210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a:latin typeface="Arial" pitchFamily="34" charset="0"/>
                  <a:cs typeface="Arial" pitchFamily="34" charset="0"/>
                </a:rPr>
                <a:t>F 2010 (6) </a:t>
              </a:r>
              <a:r>
                <a:rPr lang="fr-FR" sz="1000">
                  <a:latin typeface="Arial" pitchFamily="34" charset="0"/>
                  <a:cs typeface="Arial" pitchFamily="34" charset="0"/>
                  <a:sym typeface="Symbol"/>
                </a:rPr>
                <a:t></a:t>
              </a:r>
              <a:endParaRPr lang="fr-FR" sz="1000">
                <a:latin typeface="Arial" pitchFamily="34" charset="0"/>
                <a:cs typeface="Arial" pitchFamily="34" charset="0"/>
              </a:endParaRPr>
            </a:p>
          </cdr:txBody>
        </cdr:sp>
        <cdr:sp macro="" textlink="">
          <cdr:nvSpPr>
            <cdr:cNvPr id="10" name="ZoneTexte 1"/>
            <cdr:cNvSpPr txBox="1"/>
          </cdr:nvSpPr>
          <cdr:spPr>
            <a:xfrm xmlns:a="http://schemas.openxmlformats.org/drawingml/2006/main">
              <a:off x="1727204" y="1032052"/>
              <a:ext cx="853719" cy="20408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a:solidFill>
                    <a:schemeClr val="bg1">
                      <a:lumMod val="50000"/>
                    </a:schemeClr>
                  </a:solidFill>
                  <a:latin typeface="Arial" pitchFamily="34" charset="0"/>
                  <a:cs typeface="Arial" pitchFamily="34" charset="0"/>
                </a:rPr>
                <a:t>Avg.</a:t>
              </a:r>
              <a:r>
                <a:rPr lang="fr-FR" sz="1000" baseline="0">
                  <a:solidFill>
                    <a:schemeClr val="bg1">
                      <a:lumMod val="50000"/>
                    </a:schemeClr>
                  </a:solidFill>
                  <a:latin typeface="Arial" pitchFamily="34" charset="0"/>
                  <a:cs typeface="Arial" pitchFamily="34" charset="0"/>
                </a:rPr>
                <a:t>  </a:t>
              </a:r>
              <a:r>
                <a:rPr lang="fr-FR" sz="1000" baseline="0">
                  <a:solidFill>
                    <a:schemeClr val="bg1">
                      <a:lumMod val="50000"/>
                    </a:schemeClr>
                  </a:solidFill>
                  <a:latin typeface="Arial" pitchFamily="34" charset="0"/>
                  <a:cs typeface="Arial" pitchFamily="34" charset="0"/>
                  <a:sym typeface="Symbol"/>
                </a:rPr>
                <a:t>  </a:t>
              </a:r>
              <a:r>
                <a:rPr lang="fr-FR" sz="1000" baseline="0">
                  <a:solidFill>
                    <a:schemeClr val="bg1">
                      <a:lumMod val="50000"/>
                    </a:schemeClr>
                  </a:solidFill>
                  <a:latin typeface="Arial" pitchFamily="34" charset="0"/>
                  <a:cs typeface="Arial" pitchFamily="34" charset="0"/>
                </a:rPr>
                <a:t>Median</a:t>
              </a:r>
              <a:r>
                <a:rPr lang="fr-FR" sz="1000">
                  <a:solidFill>
                    <a:schemeClr val="bg1">
                      <a:lumMod val="50000"/>
                    </a:schemeClr>
                  </a:solidFill>
                  <a:latin typeface="Arial" pitchFamily="34" charset="0"/>
                  <a:cs typeface="Arial" pitchFamily="34" charset="0"/>
                </a:rPr>
                <a:t> </a:t>
              </a:r>
            </a:p>
          </cdr:txBody>
        </cdr:sp>
      </cdr:grpSp>
      <cdr:sp macro="" textlink="">
        <cdr:nvSpPr>
          <cdr:cNvPr id="12" name="ZoneTexte 11"/>
          <cdr:cNvSpPr txBox="1"/>
        </cdr:nvSpPr>
        <cdr:spPr>
          <a:xfrm xmlns:a="http://schemas.openxmlformats.org/drawingml/2006/main">
            <a:off x="158751" y="124883"/>
            <a:ext cx="1308100" cy="565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a:latin typeface="Arial" pitchFamily="34" charset="0"/>
                <a:cs typeface="Arial" pitchFamily="34" charset="0"/>
              </a:rPr>
              <a:t>NRAs</a:t>
            </a:r>
            <a:r>
              <a:rPr lang="fr-FR" sz="1000" b="1" baseline="0">
                <a:latin typeface="Arial" pitchFamily="34" charset="0"/>
                <a:cs typeface="Arial" pitchFamily="34" charset="0"/>
              </a:rPr>
              <a:t> WACC ranges</a:t>
            </a:r>
            <a:br>
              <a:rPr lang="fr-FR" sz="1000" b="1" baseline="0">
                <a:latin typeface="Arial" pitchFamily="34" charset="0"/>
                <a:cs typeface="Arial" pitchFamily="34" charset="0"/>
              </a:rPr>
            </a:br>
            <a:r>
              <a:rPr lang="fr-FR" sz="1000" b="1" baseline="0">
                <a:latin typeface="Arial" pitchFamily="34" charset="0"/>
                <a:cs typeface="Arial" pitchFamily="34" charset="0"/>
              </a:rPr>
              <a:t>&amp; BIPT ranking</a:t>
            </a:r>
            <a:r>
              <a:rPr lang="fr-FR" sz="1000" baseline="0">
                <a:latin typeface="Arial" pitchFamily="34" charset="0"/>
                <a:cs typeface="Arial" pitchFamily="34" charset="0"/>
              </a:rPr>
              <a:t/>
            </a:r>
            <a:br>
              <a:rPr lang="fr-FR" sz="1000" baseline="0">
                <a:latin typeface="Arial" pitchFamily="34" charset="0"/>
                <a:cs typeface="Arial" pitchFamily="34" charset="0"/>
              </a:rPr>
            </a:br>
            <a:r>
              <a:rPr lang="fr-FR" sz="900" baseline="0">
                <a:latin typeface="Arial" pitchFamily="34" charset="0"/>
                <a:cs typeface="Arial" pitchFamily="34" charset="0"/>
              </a:rPr>
              <a:t>(</a:t>
            </a:r>
            <a:r>
              <a:rPr lang="fr-FR" sz="900">
                <a:latin typeface="Arial" pitchFamily="34" charset="0"/>
                <a:ea typeface="+mn-ea"/>
                <a:cs typeface="Arial" pitchFamily="34" charset="0"/>
              </a:rPr>
              <a:t>From low to high)</a:t>
            </a:r>
            <a:endParaRPr lang="fr-FR" sz="900">
              <a:latin typeface="Arial" pitchFamily="34" charset="0"/>
              <a:cs typeface="Arial" pitchFamily="34" charset="0"/>
            </a:endParaRPr>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13%20BIPT%201.%20Rf,%20Cd,%20ERP,%20CRP%2028.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 SUMMARY"/>
      <sheetName val="ERP ANALYSIS"/>
      <sheetName val="Rf, CRP &amp; Cd ANALYSIS"/>
      <sheetName val="Calculation Rf &amp; Cd"/>
      <sheetName val="Implied ERP Data"/>
      <sheetName val="Bloom Volatilities Live"/>
      <sheetName val="(Bloom Yields Live)"/>
    </sheetNames>
    <sheetDataSet>
      <sheetData sheetId="0" refreshError="1"/>
      <sheetData sheetId="1" refreshError="1"/>
      <sheetData sheetId="2" refreshError="1"/>
      <sheetData sheetId="3" refreshError="1">
        <row r="1">
          <cell r="AH1" t="str">
            <v>A</v>
          </cell>
          <cell r="AO1" t="str">
            <v>BBB+</v>
          </cell>
          <cell r="AV1" t="str">
            <v>BBB</v>
          </cell>
          <cell r="BC1" t="str">
            <v>BBB-</v>
          </cell>
          <cell r="BJ1" t="str">
            <v>BB</v>
          </cell>
        </row>
      </sheetData>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8.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hyperlink" Target="http://www.rtr.at/en/tk/KORE_2006" TargetMode="External"/></Relationships>
</file>

<file path=xl/worksheets/sheet1.xml><?xml version="1.0" encoding="utf-8"?>
<worksheet xmlns="http://schemas.openxmlformats.org/spreadsheetml/2006/main" xmlns:r="http://schemas.openxmlformats.org/officeDocument/2006/relationships">
  <sheetPr>
    <tabColor theme="6" tint="-0.499984740745262"/>
  </sheetPr>
  <dimension ref="B1:W41"/>
  <sheetViews>
    <sheetView showGridLines="0" tabSelected="1" zoomScaleNormal="100" workbookViewId="0">
      <pane ySplit="3" topLeftCell="A4" activePane="bottomLeft" state="frozen"/>
      <selection activeCell="D1" sqref="D1"/>
      <selection pane="bottomLeft" activeCell="A37" sqref="A37:XFD37"/>
    </sheetView>
  </sheetViews>
  <sheetFormatPr baseColWidth="10" defaultRowHeight="13.2"/>
  <cols>
    <col min="1" max="1" width="0.77734375" style="237" customWidth="1"/>
    <col min="2" max="2" width="3.21875" style="237" customWidth="1"/>
    <col min="3" max="3" width="9.5546875" style="237" customWidth="1"/>
    <col min="4" max="4" width="15.109375" style="237" customWidth="1"/>
    <col min="5" max="5" width="4.21875" style="237" customWidth="1"/>
    <col min="6" max="6" width="19.77734375" style="263" customWidth="1"/>
    <col min="7" max="10" width="8.88671875" style="263" customWidth="1"/>
    <col min="11" max="11" width="9.6640625" style="263" customWidth="1"/>
    <col min="12" max="15" width="8.88671875" style="263" customWidth="1"/>
    <col min="16" max="16" width="6" style="263" customWidth="1"/>
    <col min="17" max="17" width="1.5546875" style="263" customWidth="1"/>
    <col min="18" max="18" width="11.5546875" style="1238"/>
    <col min="19" max="19" width="14.77734375" style="1238" customWidth="1"/>
    <col min="20" max="23" width="9.77734375" style="1238" customWidth="1"/>
    <col min="24" max="16384" width="11.5546875" style="237"/>
  </cols>
  <sheetData>
    <row r="1" spans="2:23" ht="3" customHeight="1"/>
    <row r="2" spans="2:23" ht="5.4" customHeight="1">
      <c r="B2" s="239"/>
      <c r="C2" s="239"/>
      <c r="D2" s="239"/>
      <c r="E2" s="239"/>
      <c r="F2" s="264"/>
      <c r="G2" s="264"/>
      <c r="H2" s="264"/>
      <c r="I2" s="264"/>
      <c r="J2" s="264"/>
      <c r="K2" s="264"/>
      <c r="L2" s="264"/>
      <c r="M2" s="264"/>
      <c r="N2" s="264"/>
      <c r="O2" s="264"/>
      <c r="P2" s="264"/>
      <c r="R2" s="1239"/>
      <c r="S2" s="1239"/>
      <c r="T2" s="1239"/>
      <c r="U2" s="1239"/>
      <c r="V2" s="1239"/>
      <c r="W2" s="1239"/>
    </row>
    <row r="3" spans="2:23">
      <c r="B3" s="239"/>
      <c r="C3" s="665" t="s">
        <v>400</v>
      </c>
      <c r="D3" s="665"/>
      <c r="E3" s="666"/>
      <c r="F3" s="678" t="s">
        <v>415</v>
      </c>
      <c r="G3" s="442"/>
      <c r="H3" s="240"/>
      <c r="I3" s="240"/>
      <c r="J3" s="240"/>
      <c r="K3" s="240"/>
      <c r="L3" s="240"/>
      <c r="M3" s="240"/>
      <c r="N3" s="240"/>
      <c r="O3" s="240"/>
      <c r="P3" s="240"/>
      <c r="R3" s="790" t="s">
        <v>416</v>
      </c>
      <c r="S3" s="789"/>
      <c r="T3" s="1239"/>
      <c r="U3" s="1239"/>
      <c r="V3" s="1239"/>
      <c r="W3" s="1239"/>
    </row>
    <row r="4" spans="2:23">
      <c r="B4" s="239"/>
      <c r="C4" s="238"/>
      <c r="D4" s="238"/>
      <c r="E4" s="238"/>
      <c r="F4" s="240"/>
      <c r="G4" s="240"/>
      <c r="H4" s="240"/>
      <c r="I4" s="240"/>
      <c r="J4" s="240"/>
      <c r="K4" s="240"/>
      <c r="L4" s="240"/>
      <c r="M4" s="240"/>
      <c r="N4" s="240"/>
      <c r="O4" s="240"/>
      <c r="P4" s="240"/>
      <c r="R4" s="1239"/>
      <c r="S4" s="1239"/>
      <c r="T4" s="1239"/>
      <c r="U4" s="1239"/>
      <c r="V4" s="1239"/>
      <c r="W4" s="1239"/>
    </row>
    <row r="5" spans="2:23">
      <c r="B5" s="239"/>
      <c r="C5" s="1281" t="s">
        <v>300</v>
      </c>
      <c r="D5" s="1281"/>
      <c r="E5" s="238"/>
      <c r="F5" s="1231" t="s">
        <v>516</v>
      </c>
      <c r="G5" s="240"/>
      <c r="H5" s="240"/>
      <c r="I5" s="240"/>
      <c r="J5" s="240"/>
      <c r="K5" s="240"/>
      <c r="L5" s="240"/>
      <c r="M5" s="240"/>
      <c r="N5" s="240"/>
      <c r="O5" s="240"/>
      <c r="P5" s="240"/>
      <c r="R5" s="1240"/>
      <c r="S5" s="1240"/>
      <c r="T5" s="1240"/>
      <c r="U5" s="1240"/>
      <c r="V5" s="1240"/>
      <c r="W5" s="1240"/>
    </row>
    <row r="6" spans="2:23">
      <c r="B6" s="239"/>
      <c r="C6" s="436"/>
      <c r="D6" s="238"/>
      <c r="E6" s="238"/>
      <c r="F6" s="1232" t="s">
        <v>395</v>
      </c>
      <c r="G6" s="240"/>
      <c r="H6" s="240"/>
      <c r="I6" s="240"/>
      <c r="J6" s="240"/>
      <c r="K6" s="240"/>
      <c r="L6" s="240"/>
      <c r="M6" s="240"/>
      <c r="N6" s="240"/>
      <c r="O6" s="240"/>
      <c r="P6" s="240"/>
      <c r="R6" s="1240"/>
      <c r="S6" s="1240"/>
      <c r="T6" s="1240"/>
      <c r="U6" s="1240"/>
      <c r="V6" s="1240"/>
      <c r="W6" s="1240"/>
    </row>
    <row r="7" spans="2:23" ht="17.399999999999999" customHeight="1">
      <c r="B7" s="239"/>
      <c r="C7" s="239"/>
      <c r="D7" s="239"/>
      <c r="E7" s="239"/>
      <c r="F7" s="1009" t="s">
        <v>188</v>
      </c>
      <c r="G7" s="240" t="s">
        <v>168</v>
      </c>
      <c r="H7" s="240" t="s">
        <v>76</v>
      </c>
      <c r="I7" s="240" t="s">
        <v>526</v>
      </c>
      <c r="J7" s="240"/>
      <c r="K7" s="265" t="s">
        <v>3</v>
      </c>
      <c r="L7" s="265" t="s">
        <v>2</v>
      </c>
      <c r="M7" s="265" t="s">
        <v>137</v>
      </c>
      <c r="N7" s="265"/>
      <c r="O7" s="265"/>
      <c r="P7" s="265"/>
      <c r="R7" s="1240"/>
      <c r="S7" s="1240"/>
      <c r="T7" s="1240"/>
      <c r="U7" s="1240"/>
      <c r="V7" s="1240"/>
      <c r="W7" s="1240"/>
    </row>
    <row r="8" spans="2:23">
      <c r="B8" s="239"/>
      <c r="C8" s="1221" t="s">
        <v>523</v>
      </c>
      <c r="D8" s="1220"/>
      <c r="E8" s="238"/>
      <c r="F8" s="1010">
        <v>2013</v>
      </c>
      <c r="G8" s="1222">
        <f>'WACC BIPT &amp; Cullen 2013'!J28</f>
        <v>8.1555337818754861E-2</v>
      </c>
      <c r="H8" s="1222">
        <f>'WACC BIPT &amp; Cullen 2013'!P28</f>
        <v>8.7834696185358122E-2</v>
      </c>
      <c r="I8" s="400">
        <f>H8-G8</f>
        <v>6.2793583666032604E-3</v>
      </c>
      <c r="J8" s="396"/>
      <c r="K8" s="401">
        <f>'WACC BIPT &amp; Cullen 2013'!D28</f>
        <v>7.6172970707316712E-2</v>
      </c>
      <c r="L8" s="401">
        <f>'WACC BIPT &amp; Cullen 2013'!M28</f>
        <v>8.7662972620182106E-2</v>
      </c>
      <c r="M8" s="401">
        <f>'WACC BIPT &amp; Cullen 2013'!G28</f>
        <v>9.9730784592595989E-2</v>
      </c>
      <c r="N8" s="1218"/>
      <c r="O8" s="1218"/>
      <c r="P8" s="267"/>
      <c r="R8" s="1240"/>
      <c r="S8" s="1240"/>
      <c r="T8" s="1240"/>
      <c r="U8" s="1240"/>
      <c r="V8" s="1240"/>
      <c r="W8" s="1240"/>
    </row>
    <row r="9" spans="2:23">
      <c r="B9" s="239"/>
      <c r="C9" s="265"/>
      <c r="D9" s="239"/>
      <c r="E9" s="266"/>
      <c r="F9" s="1011">
        <v>2010</v>
      </c>
      <c r="G9" s="395">
        <f>'WACC BIPT &amp; Cullen 2013'!V28</f>
        <v>9.8924829571277073E-2</v>
      </c>
      <c r="H9" s="395">
        <f>'WACC BIPT &amp; Cullen 2013'!Y28</f>
        <v>0.10294103166186941</v>
      </c>
      <c r="I9" s="557">
        <f>H9-G9</f>
        <v>4.0162020905923357E-3</v>
      </c>
      <c r="J9" s="432"/>
      <c r="K9" s="395">
        <f>'WACC BIPT &amp; Cullen 2013'!U28</f>
        <v>0.10016324799272837</v>
      </c>
      <c r="L9" s="395">
        <f>'WACC BIPT &amp; Cullen 2013'!X28</f>
        <v>0.10373636570216634</v>
      </c>
      <c r="M9" s="395"/>
      <c r="N9" s="395"/>
      <c r="O9" s="395"/>
      <c r="P9" s="264"/>
      <c r="R9" s="1240"/>
      <c r="S9" s="1240"/>
      <c r="T9" s="1240"/>
      <c r="U9" s="1240"/>
      <c r="V9" s="1240"/>
      <c r="W9" s="1240"/>
    </row>
    <row r="10" spans="2:23">
      <c r="B10" s="239"/>
      <c r="C10" s="238"/>
      <c r="D10" s="239"/>
      <c r="E10" s="239"/>
      <c r="F10" s="1233" t="s">
        <v>401</v>
      </c>
      <c r="G10" s="1234">
        <f>G8-G9</f>
        <v>-1.7369491752522212E-2</v>
      </c>
      <c r="H10" s="1234">
        <f>H8-H9</f>
        <v>-1.5106335476511287E-2</v>
      </c>
      <c r="I10" s="1235">
        <f>I8-I9</f>
        <v>2.2631562760109247E-3</v>
      </c>
      <c r="J10" s="638" t="s">
        <v>272</v>
      </c>
      <c r="K10" s="1235">
        <f>K8-K9</f>
        <v>-2.3990277285411657E-2</v>
      </c>
      <c r="L10" s="1235">
        <f>L8-L9</f>
        <v>-1.607339308198423E-2</v>
      </c>
      <c r="M10" s="395"/>
      <c r="N10" s="395"/>
      <c r="O10" s="395"/>
      <c r="P10" s="264"/>
      <c r="R10" s="1240"/>
      <c r="S10" s="1240"/>
      <c r="T10" s="1240"/>
      <c r="U10" s="1240"/>
      <c r="V10" s="1240"/>
      <c r="W10" s="1240"/>
    </row>
    <row r="11" spans="2:23" ht="17.399999999999999" customHeight="1">
      <c r="B11" s="239"/>
      <c r="C11" s="239"/>
      <c r="D11" s="239"/>
      <c r="E11" s="239"/>
      <c r="F11" s="1236" t="s">
        <v>481</v>
      </c>
      <c r="G11" s="1236"/>
      <c r="H11" s="1236"/>
      <c r="I11" s="1236"/>
      <c r="J11" s="1236"/>
      <c r="K11" s="1236"/>
      <c r="L11" s="1236"/>
      <c r="M11" s="1236"/>
      <c r="N11" s="1236"/>
      <c r="O11" s="1236"/>
      <c r="P11" s="1210"/>
      <c r="R11" s="1240"/>
      <c r="S11" s="1240"/>
      <c r="T11" s="1240"/>
      <c r="U11" s="1240"/>
      <c r="V11" s="1240"/>
      <c r="W11" s="1240"/>
    </row>
    <row r="12" spans="2:23">
      <c r="B12" s="239"/>
      <c r="C12" s="239"/>
      <c r="D12" s="239"/>
      <c r="E12" s="239"/>
      <c r="F12" s="265" t="s">
        <v>517</v>
      </c>
      <c r="G12" s="1237"/>
      <c r="H12" s="1237"/>
      <c r="I12" s="1237"/>
      <c r="J12" s="1237"/>
      <c r="K12" s="1237"/>
      <c r="L12" s="1237"/>
      <c r="M12" s="1237"/>
      <c r="N12" s="1237"/>
      <c r="O12" s="1237"/>
      <c r="P12" s="527"/>
      <c r="R12" s="1240"/>
      <c r="S12" s="1240"/>
      <c r="T12" s="1240"/>
      <c r="U12" s="1240"/>
      <c r="V12" s="1240"/>
      <c r="W12" s="1240"/>
    </row>
    <row r="13" spans="2:23" ht="17.399999999999999" customHeight="1">
      <c r="B13" s="239"/>
      <c r="C13" s="239"/>
      <c r="D13" s="239"/>
      <c r="E13" s="239"/>
      <c r="F13" s="1011" t="s">
        <v>188</v>
      </c>
      <c r="G13" s="265" t="s">
        <v>168</v>
      </c>
      <c r="H13" s="265" t="s">
        <v>76</v>
      </c>
      <c r="I13" s="265" t="s">
        <v>527</v>
      </c>
      <c r="J13" s="473"/>
      <c r="K13" s="474"/>
      <c r="L13" s="475"/>
      <c r="M13" s="475"/>
      <c r="N13" s="475"/>
      <c r="O13" s="475"/>
      <c r="P13" s="264"/>
      <c r="R13" s="1240"/>
      <c r="S13" s="1240"/>
      <c r="T13" s="1240"/>
      <c r="U13" s="1240"/>
      <c r="V13" s="1240"/>
      <c r="W13" s="1240"/>
    </row>
    <row r="14" spans="2:23">
      <c r="B14" s="239"/>
      <c r="C14" s="1223" t="s">
        <v>524</v>
      </c>
      <c r="D14" s="1221"/>
      <c r="E14" s="238"/>
      <c r="F14" s="1013" t="s">
        <v>484</v>
      </c>
      <c r="G14" s="671">
        <f>'WACC BIPT &amp; Cullen 2013'!BA1</f>
        <v>8.7926551848204804E-2</v>
      </c>
      <c r="H14" s="672">
        <f>'WACC BIPT &amp; Cullen 2013'!BQ1</f>
        <v>9.6799359404419222E-2</v>
      </c>
      <c r="I14" s="673">
        <f>'WACC BIPT &amp; Cullen 2013'!CG1</f>
        <v>4.0435540069686414E-3</v>
      </c>
      <c r="J14" s="476"/>
      <c r="K14" s="477"/>
      <c r="L14" s="477"/>
      <c r="M14" s="478"/>
      <c r="N14" s="478"/>
      <c r="O14" s="478"/>
      <c r="P14" s="239"/>
      <c r="R14" s="1240"/>
      <c r="S14" s="1240"/>
      <c r="T14" s="1240"/>
      <c r="U14" s="1240"/>
      <c r="V14" s="1240"/>
      <c r="W14" s="1240"/>
    </row>
    <row r="15" spans="2:23">
      <c r="B15" s="239"/>
      <c r="C15" s="239"/>
      <c r="D15" s="239"/>
      <c r="E15" s="238"/>
      <c r="F15" s="1155" t="s">
        <v>485</v>
      </c>
      <c r="G15" s="1156">
        <f>G8-G14</f>
        <v>-6.3712140294499425E-3</v>
      </c>
      <c r="H15" s="1156">
        <f>H8-H14</f>
        <v>-8.9646632190611003E-3</v>
      </c>
      <c r="I15" s="1157">
        <f>I8-I14</f>
        <v>2.235804359634619E-3</v>
      </c>
      <c r="J15" s="479"/>
      <c r="K15" s="480"/>
      <c r="L15" s="480"/>
      <c r="M15" s="480"/>
      <c r="N15" s="480"/>
      <c r="O15" s="480"/>
      <c r="P15" s="239"/>
      <c r="R15" s="1240"/>
      <c r="S15" s="1240"/>
      <c r="T15" s="1240"/>
      <c r="U15" s="1240"/>
      <c r="V15" s="1240"/>
      <c r="W15" s="1240"/>
    </row>
    <row r="16" spans="2:23">
      <c r="B16" s="239"/>
      <c r="C16" s="239"/>
      <c r="D16" s="239"/>
      <c r="E16" s="239"/>
      <c r="F16" s="1012" t="s">
        <v>482</v>
      </c>
      <c r="G16" s="1158">
        <f>G14-G17</f>
        <v>-1.3645323151795202E-2</v>
      </c>
      <c r="H16" s="1158">
        <f>H14-H17</f>
        <v>-2.3932585040025239E-2</v>
      </c>
      <c r="I16" s="1159">
        <f>I14-I17</f>
        <v>-1.6334223770809127E-2</v>
      </c>
      <c r="J16" s="479"/>
      <c r="K16" s="480"/>
      <c r="L16" s="480"/>
      <c r="M16" s="480"/>
      <c r="N16" s="480"/>
      <c r="O16" s="480"/>
      <c r="P16" s="239"/>
      <c r="R16" s="1240"/>
      <c r="S16" s="1240"/>
      <c r="T16" s="1240"/>
      <c r="U16" s="1240"/>
      <c r="V16" s="1240"/>
      <c r="W16" s="1240"/>
    </row>
    <row r="17" spans="2:23">
      <c r="B17" s="239"/>
      <c r="C17" s="239"/>
      <c r="D17" s="239"/>
      <c r="E17" s="239"/>
      <c r="F17" s="1013" t="s">
        <v>483</v>
      </c>
      <c r="G17" s="671">
        <f>'(Cullen 2010 Fixed)'!N21</f>
        <v>0.10157187500000001</v>
      </c>
      <c r="H17" s="672">
        <f>'(Cullen 2010 Mobile)'!$M$18</f>
        <v>0.12073194444444446</v>
      </c>
      <c r="I17" s="673">
        <f>'(Cullen 2010 Mobile)'!T27</f>
        <v>2.0377777777777769E-2</v>
      </c>
      <c r="J17" s="473"/>
      <c r="K17" s="474"/>
      <c r="L17" s="475"/>
      <c r="M17" s="475"/>
      <c r="N17" s="475"/>
      <c r="O17" s="475"/>
      <c r="P17" s="239"/>
      <c r="R17" s="1240"/>
      <c r="S17" s="1240"/>
      <c r="T17" s="1240"/>
      <c r="U17" s="1240"/>
      <c r="V17" s="1240"/>
      <c r="W17" s="1240"/>
    </row>
    <row r="18" spans="2:23">
      <c r="B18" s="239"/>
      <c r="C18" s="239"/>
      <c r="D18" s="265"/>
      <c r="E18" s="265"/>
      <c r="F18" s="1012" t="s">
        <v>486</v>
      </c>
      <c r="G18" s="670">
        <f>G9-G17</f>
        <v>-2.6470454287229328E-3</v>
      </c>
      <c r="H18" s="670">
        <f>H9-H17</f>
        <v>-1.7790912782575052E-2</v>
      </c>
      <c r="I18" s="670">
        <f>I9-I17</f>
        <v>-1.6361575687185433E-2</v>
      </c>
      <c r="J18" s="476"/>
      <c r="K18" s="477"/>
      <c r="L18" s="477"/>
      <c r="M18" s="478"/>
      <c r="N18" s="478"/>
      <c r="O18" s="478"/>
      <c r="P18" s="239"/>
      <c r="R18" s="1240"/>
      <c r="S18" s="1240"/>
      <c r="T18" s="1240"/>
      <c r="U18" s="1240"/>
      <c r="V18" s="1240"/>
      <c r="W18" s="1240"/>
    </row>
    <row r="19" spans="2:23" ht="17.399999999999999" customHeight="1">
      <c r="B19" s="239"/>
      <c r="C19" s="266"/>
      <c r="D19" s="266"/>
      <c r="E19" s="266"/>
      <c r="F19" s="1282" t="s">
        <v>519</v>
      </c>
      <c r="G19" s="1282"/>
      <c r="H19" s="1282"/>
      <c r="I19" s="1282"/>
      <c r="J19" s="481"/>
      <c r="K19" s="475"/>
      <c r="L19" s="475"/>
      <c r="M19" s="475"/>
      <c r="N19" s="475"/>
      <c r="O19" s="475"/>
      <c r="P19" s="264"/>
      <c r="R19" s="1240"/>
      <c r="S19" s="1240"/>
      <c r="T19" s="1240"/>
      <c r="U19" s="1240"/>
      <c r="V19" s="1240"/>
      <c r="W19" s="1240"/>
    </row>
    <row r="20" spans="2:23" ht="13.2" customHeight="1">
      <c r="B20" s="239"/>
      <c r="C20" s="239"/>
      <c r="D20" s="239"/>
      <c r="E20" s="239"/>
      <c r="F20" s="1283"/>
      <c r="G20" s="1283"/>
      <c r="H20" s="1283"/>
      <c r="I20" s="1283"/>
      <c r="J20" s="433"/>
      <c r="K20" s="264"/>
      <c r="L20" s="264"/>
      <c r="M20" s="264"/>
      <c r="N20" s="264"/>
      <c r="O20" s="264"/>
      <c r="P20" s="264"/>
      <c r="R20" s="1240"/>
      <c r="S20" s="1240"/>
      <c r="T20" s="1240"/>
      <c r="U20" s="1240"/>
      <c r="V20" s="1240"/>
      <c r="W20" s="1240"/>
    </row>
    <row r="21" spans="2:23">
      <c r="B21" s="239"/>
      <c r="C21" s="239"/>
      <c r="D21" s="239"/>
      <c r="E21" s="239"/>
      <c r="F21" s="1284" t="s">
        <v>518</v>
      </c>
      <c r="G21" s="1284"/>
      <c r="H21" s="1284"/>
      <c r="I21" s="1284"/>
      <c r="J21" s="433"/>
      <c r="K21" s="264"/>
      <c r="L21" s="264"/>
      <c r="M21" s="264"/>
      <c r="N21" s="264"/>
      <c r="O21" s="264"/>
      <c r="P21" s="264"/>
      <c r="R21" s="1240"/>
      <c r="S21" s="1240"/>
      <c r="T21" s="1240"/>
      <c r="U21" s="1240"/>
      <c r="V21" s="1240"/>
      <c r="W21" s="1240"/>
    </row>
    <row r="22" spans="2:23">
      <c r="B22" s="239"/>
      <c r="C22" s="239"/>
      <c r="D22" s="239"/>
      <c r="E22" s="239"/>
      <c r="F22" s="1284"/>
      <c r="G22" s="1284"/>
      <c r="H22" s="1284"/>
      <c r="I22" s="1284"/>
      <c r="J22" s="433"/>
      <c r="K22" s="264"/>
      <c r="L22" s="264"/>
      <c r="M22" s="264"/>
      <c r="N22" s="264"/>
      <c r="O22" s="264"/>
      <c r="P22" s="264"/>
      <c r="R22" s="1240"/>
      <c r="S22" s="1240"/>
      <c r="T22" s="1240"/>
      <c r="U22" s="1240"/>
      <c r="V22" s="1240"/>
      <c r="W22" s="1240"/>
    </row>
    <row r="23" spans="2:23" ht="17.399999999999999" customHeight="1">
      <c r="B23" s="239"/>
      <c r="C23" s="239"/>
      <c r="D23" s="239"/>
      <c r="E23" s="239"/>
      <c r="F23" s="1009" t="s">
        <v>302</v>
      </c>
      <c r="G23" s="558" t="s">
        <v>168</v>
      </c>
      <c r="H23" s="558" t="s">
        <v>76</v>
      </c>
      <c r="I23" s="240" t="s">
        <v>526</v>
      </c>
      <c r="J23" s="433"/>
      <c r="K23" s="265" t="s">
        <v>3</v>
      </c>
      <c r="L23" s="265" t="s">
        <v>2</v>
      </c>
      <c r="M23" s="265" t="s">
        <v>137</v>
      </c>
      <c r="N23" s="265"/>
      <c r="O23" s="265"/>
      <c r="P23" s="264"/>
      <c r="R23" s="1240"/>
      <c r="S23" s="1240"/>
      <c r="T23" s="1240"/>
      <c r="U23" s="1240"/>
      <c r="V23" s="1240"/>
      <c r="W23" s="1240"/>
    </row>
    <row r="24" spans="2:23">
      <c r="B24" s="239"/>
      <c r="C24" s="1221" t="s">
        <v>525</v>
      </c>
      <c r="D24" s="1221"/>
      <c r="E24" s="238"/>
      <c r="F24" s="1010">
        <v>2013</v>
      </c>
      <c r="G24" s="1224">
        <f>'WACC BIPT &amp; Cullen 2013'!J38</f>
        <v>7.5371399203567876E-2</v>
      </c>
      <c r="H24" s="1224">
        <f>'WACC BIPT &amp; Cullen 2013'!P38</f>
        <v>8.6303071530882375E-2</v>
      </c>
      <c r="I24" s="1225">
        <f>H24-G24</f>
        <v>1.0931672327314498E-2</v>
      </c>
      <c r="J24" s="396"/>
      <c r="K24" s="431">
        <f>'WACC BIPT &amp; Cullen 2013'!D38</f>
        <v>7.138444305194426E-2</v>
      </c>
      <c r="L24" s="431">
        <f>'WACC BIPT &amp; Cullen 2013'!M38</f>
        <v>8.6142783260974132E-2</v>
      </c>
      <c r="M24" s="431">
        <f>'WACC BIPT &amp; Cullen 2013'!G38</f>
        <v>9.4174611436272107E-2</v>
      </c>
      <c r="N24" s="1219"/>
      <c r="O24" s="1219"/>
      <c r="P24" s="267"/>
      <c r="R24" s="1240"/>
      <c r="S24" s="1240"/>
      <c r="T24" s="1240"/>
      <c r="U24" s="1240"/>
      <c r="V24" s="1240"/>
      <c r="W24" s="1240"/>
    </row>
    <row r="25" spans="2:23">
      <c r="B25" s="239"/>
      <c r="C25" s="554"/>
      <c r="D25" s="239"/>
      <c r="E25" s="266"/>
      <c r="F25" s="1011">
        <v>2010</v>
      </c>
      <c r="G25" s="267">
        <f>'WACC BIPT &amp; Cullen 2013'!V38</f>
        <v>9.6121785799172826E-2</v>
      </c>
      <c r="H25" s="267">
        <f>'WACC BIPT &amp; Cullen 2013'!Y38</f>
        <v>0.1004917173404925</v>
      </c>
      <c r="I25" s="272">
        <f>H25-G25</f>
        <v>4.3699315413196771E-3</v>
      </c>
      <c r="J25" s="433"/>
      <c r="K25" s="267">
        <f>'WACC BIPT &amp; Cullen 2013'!U38</f>
        <v>9.6986465051010232E-2</v>
      </c>
      <c r="L25" s="267">
        <f>'WACC BIPT &amp; Cullen 2013'!X38</f>
        <v>0.10128705138078943</v>
      </c>
      <c r="M25" s="264"/>
      <c r="N25" s="264"/>
      <c r="O25" s="264"/>
      <c r="P25" s="264"/>
      <c r="R25" s="1240"/>
      <c r="S25" s="1240"/>
      <c r="T25" s="1240"/>
      <c r="U25" s="1240"/>
      <c r="V25" s="1240"/>
      <c r="W25" s="1240"/>
    </row>
    <row r="26" spans="2:23">
      <c r="B26" s="239"/>
      <c r="C26" s="238"/>
      <c r="D26" s="239"/>
      <c r="E26" s="239"/>
      <c r="F26" s="1012" t="s">
        <v>401</v>
      </c>
      <c r="G26" s="1279">
        <f>G24-G25</f>
        <v>-2.075038659560495E-2</v>
      </c>
      <c r="H26" s="1279">
        <f t="shared" ref="H26" si="0">H24-H25</f>
        <v>-1.4188645809610129E-2</v>
      </c>
      <c r="I26" s="674">
        <f t="shared" ref="I26" si="1">I24-I25</f>
        <v>6.5617407859948212E-3</v>
      </c>
      <c r="J26" s="638" t="s">
        <v>272</v>
      </c>
      <c r="K26" s="670">
        <f t="shared" ref="K26" si="2">K24-K25</f>
        <v>-2.5602021999065971E-2</v>
      </c>
      <c r="L26" s="670">
        <f t="shared" ref="L26" si="3">L24-L25</f>
        <v>-1.5144268119815299E-2</v>
      </c>
      <c r="M26" s="264"/>
      <c r="N26" s="264"/>
      <c r="O26" s="264"/>
      <c r="P26" s="264"/>
      <c r="R26" s="1240"/>
      <c r="S26" s="1240"/>
      <c r="T26" s="1240"/>
      <c r="U26" s="1240"/>
      <c r="V26" s="1240"/>
      <c r="W26" s="1240"/>
    </row>
    <row r="27" spans="2:23">
      <c r="B27" s="239"/>
      <c r="C27" s="238"/>
      <c r="D27" s="239"/>
      <c r="E27" s="239"/>
      <c r="F27" s="1014" t="s">
        <v>309</v>
      </c>
      <c r="G27" s="1280">
        <f>'(Cullen 2010 Fixed)'!C9-'(Cullen 2010 Fixed)'!C18</f>
        <v>-1.5899999999999997E-2</v>
      </c>
      <c r="H27" s="1280">
        <f>'(Cullen 2010 Mobile)'!C6-'(Cullen 2010 Mobile)'!C11</f>
        <v>-2.1899999999999989E-2</v>
      </c>
      <c r="I27" s="421">
        <f>I25-('(Cullen 2010 Mobile)'!C11-'(Cullen 2010 Fixed)'!C18)</f>
        <v>-6.0300684586803155E-3</v>
      </c>
      <c r="J27" s="638" t="s">
        <v>272</v>
      </c>
      <c r="K27" s="637"/>
      <c r="L27" s="637"/>
      <c r="M27" s="264"/>
      <c r="N27" s="264"/>
      <c r="O27" s="264"/>
      <c r="P27" s="264"/>
      <c r="R27" s="1240"/>
      <c r="S27" s="1240"/>
      <c r="T27" s="1240"/>
      <c r="U27" s="1240"/>
      <c r="V27" s="1240"/>
      <c r="W27" s="1240"/>
    </row>
    <row r="28" spans="2:23" ht="17.399999999999999" customHeight="1">
      <c r="B28" s="239"/>
      <c r="C28" s="238"/>
      <c r="D28" s="239"/>
      <c r="E28" s="239"/>
      <c r="F28" s="1285" t="s">
        <v>520</v>
      </c>
      <c r="G28" s="1285"/>
      <c r="H28" s="1285"/>
      <c r="I28" s="1285"/>
      <c r="J28" s="1285"/>
      <c r="K28" s="1285"/>
      <c r="L28" s="1285"/>
      <c r="M28" s="1285"/>
      <c r="N28" s="1285"/>
      <c r="O28" s="1285"/>
      <c r="P28" s="1211"/>
      <c r="R28" s="1240"/>
      <c r="S28" s="1240"/>
      <c r="T28" s="1240"/>
      <c r="U28" s="1240"/>
      <c r="V28" s="1240"/>
      <c r="W28" s="1240"/>
    </row>
    <row r="29" spans="2:23">
      <c r="B29" s="239"/>
      <c r="C29" s="238"/>
      <c r="D29" s="239"/>
      <c r="E29" s="239"/>
      <c r="F29" s="1285"/>
      <c r="G29" s="1285"/>
      <c r="H29" s="1285"/>
      <c r="I29" s="1285"/>
      <c r="J29" s="1285"/>
      <c r="K29" s="1285"/>
      <c r="L29" s="1285"/>
      <c r="M29" s="1285"/>
      <c r="N29" s="1285"/>
      <c r="O29" s="1285"/>
      <c r="P29" s="1211"/>
      <c r="R29" s="1240"/>
      <c r="S29" s="1240"/>
      <c r="T29" s="1240"/>
      <c r="U29" s="1240"/>
      <c r="V29" s="1240"/>
      <c r="W29" s="1240"/>
    </row>
    <row r="30" spans="2:23">
      <c r="B30" s="239"/>
      <c r="C30" s="238"/>
      <c r="D30" s="239"/>
      <c r="E30" s="239"/>
      <c r="F30" s="265"/>
      <c r="G30" s="264"/>
      <c r="H30" s="264"/>
      <c r="I30" s="264"/>
      <c r="J30" s="264"/>
      <c r="K30" s="264"/>
      <c r="L30" s="264"/>
      <c r="M30" s="264"/>
      <c r="N30" s="264"/>
      <c r="O30" s="264"/>
      <c r="P30" s="264"/>
      <c r="R30" s="1240"/>
      <c r="S30" s="1240"/>
      <c r="T30" s="1240"/>
      <c r="U30" s="1240"/>
      <c r="V30" s="1240"/>
      <c r="W30" s="1240"/>
    </row>
    <row r="31" spans="2:23">
      <c r="B31" s="239"/>
      <c r="C31" s="667" t="s">
        <v>301</v>
      </c>
      <c r="D31" s="668"/>
      <c r="E31" s="110"/>
      <c r="F31" s="82" t="s">
        <v>454</v>
      </c>
      <c r="G31" s="266"/>
      <c r="H31" s="82"/>
      <c r="I31" s="439"/>
      <c r="J31" s="266"/>
      <c r="K31" s="100"/>
      <c r="L31" s="100"/>
      <c r="M31" s="266"/>
      <c r="N31" s="266"/>
      <c r="O31" s="266"/>
      <c r="P31" s="265"/>
      <c r="Q31" s="592"/>
      <c r="R31" s="1240"/>
      <c r="S31" s="1240"/>
      <c r="T31" s="1240"/>
      <c r="U31" s="1240"/>
      <c r="V31" s="1240"/>
      <c r="W31" s="1240"/>
    </row>
    <row r="32" spans="2:23" ht="5.4" customHeight="1">
      <c r="B32" s="239"/>
      <c r="C32" s="238"/>
      <c r="D32" s="239"/>
      <c r="E32" s="239"/>
      <c r="F32" s="265"/>
      <c r="G32" s="265"/>
      <c r="H32" s="265"/>
      <c r="I32" s="265"/>
      <c r="J32" s="265"/>
      <c r="K32" s="265"/>
      <c r="L32" s="265"/>
      <c r="M32" s="265"/>
      <c r="N32" s="265"/>
      <c r="O32" s="265"/>
      <c r="P32" s="265"/>
      <c r="Q32" s="592"/>
      <c r="R32" s="1239"/>
      <c r="S32" s="1239"/>
      <c r="T32" s="1239"/>
      <c r="U32" s="1239"/>
      <c r="V32" s="1239"/>
      <c r="W32" s="1239"/>
    </row>
    <row r="33" spans="2:23">
      <c r="B33" s="239"/>
      <c r="C33" s="667" t="s">
        <v>303</v>
      </c>
      <c r="D33" s="669"/>
      <c r="E33" s="239"/>
      <c r="F33" s="73" t="s">
        <v>521</v>
      </c>
      <c r="G33" s="265"/>
      <c r="H33" s="265"/>
      <c r="I33" s="265"/>
      <c r="J33" s="265"/>
      <c r="K33" s="265"/>
      <c r="L33" s="265"/>
      <c r="M33" s="265"/>
      <c r="N33" s="265"/>
      <c r="O33" s="265"/>
      <c r="P33" s="265"/>
      <c r="Q33" s="592"/>
      <c r="R33" s="1240"/>
      <c r="S33" s="1240"/>
      <c r="T33" s="1240"/>
      <c r="U33" s="1240"/>
      <c r="V33" s="1240"/>
      <c r="W33" s="1240"/>
    </row>
    <row r="34" spans="2:23">
      <c r="B34" s="239"/>
      <c r="C34" s="436"/>
      <c r="D34" s="239"/>
      <c r="E34" s="239"/>
      <c r="F34" s="73" t="s">
        <v>522</v>
      </c>
      <c r="G34" s="265"/>
      <c r="H34" s="265"/>
      <c r="I34" s="265"/>
      <c r="J34" s="265"/>
      <c r="K34" s="265"/>
      <c r="L34" s="265"/>
      <c r="M34" s="265"/>
      <c r="N34" s="265"/>
      <c r="O34" s="265"/>
      <c r="P34" s="265"/>
      <c r="Q34" s="592"/>
      <c r="R34" s="1240"/>
      <c r="S34" s="1240"/>
      <c r="T34" s="1240"/>
      <c r="U34" s="1240"/>
      <c r="V34" s="1240"/>
      <c r="W34" s="1240"/>
    </row>
    <row r="35" spans="2:23" s="1243" customFormat="1" ht="17.399999999999999" customHeight="1">
      <c r="B35" s="1242"/>
      <c r="C35" s="1241" t="s">
        <v>305</v>
      </c>
      <c r="D35" s="1242"/>
      <c r="E35" s="1242"/>
      <c r="F35" s="1174" t="s">
        <v>396</v>
      </c>
      <c r="G35" s="265"/>
      <c r="H35" s="265"/>
      <c r="I35" s="265"/>
      <c r="J35" s="265"/>
      <c r="K35" s="265"/>
      <c r="L35" s="265"/>
      <c r="M35" s="265"/>
      <c r="N35" s="265"/>
      <c r="O35" s="265"/>
      <c r="P35" s="265"/>
      <c r="Q35" s="592"/>
      <c r="R35" s="1240"/>
      <c r="S35" s="1240"/>
      <c r="T35" s="1240"/>
      <c r="U35" s="1240"/>
      <c r="V35" s="1240"/>
      <c r="W35" s="1240"/>
    </row>
    <row r="36" spans="2:23" s="1243" customFormat="1" ht="17.399999999999999" customHeight="1">
      <c r="B36" s="1242"/>
      <c r="C36" s="1241" t="s">
        <v>304</v>
      </c>
      <c r="D36" s="1242"/>
      <c r="E36" s="1242"/>
      <c r="F36" s="1174" t="s">
        <v>397</v>
      </c>
      <c r="G36" s="265"/>
      <c r="H36" s="265"/>
      <c r="I36" s="265"/>
      <c r="J36" s="264"/>
      <c r="K36" s="264"/>
      <c r="L36" s="264"/>
      <c r="M36" s="606"/>
      <c r="N36" s="676"/>
      <c r="O36" s="676" t="s">
        <v>528</v>
      </c>
      <c r="P36" s="265"/>
      <c r="Q36" s="592"/>
      <c r="R36" s="1240"/>
      <c r="S36" s="1240"/>
      <c r="T36" s="1240"/>
      <c r="U36" s="1240"/>
      <c r="V36" s="1240"/>
      <c r="W36" s="1240"/>
    </row>
    <row r="37" spans="2:23" ht="8.4" customHeight="1">
      <c r="B37" s="239"/>
      <c r="C37" s="239"/>
      <c r="D37" s="239"/>
      <c r="E37" s="239"/>
      <c r="F37" s="264"/>
      <c r="G37" s="264"/>
      <c r="H37" s="264"/>
      <c r="I37" s="264"/>
      <c r="J37" s="264"/>
      <c r="K37" s="264"/>
      <c r="L37" s="264"/>
      <c r="M37" s="264"/>
      <c r="N37" s="264"/>
      <c r="O37" s="264"/>
      <c r="P37" s="264"/>
      <c r="R37" s="1239"/>
      <c r="S37" s="1239"/>
      <c r="T37" s="1239"/>
      <c r="U37" s="1239"/>
      <c r="V37" s="1239"/>
      <c r="W37" s="1239"/>
    </row>
    <row r="38" spans="2:23">
      <c r="B38" s="268"/>
      <c r="C38" s="269"/>
      <c r="D38" s="269"/>
      <c r="E38" s="269"/>
      <c r="F38" s="437" t="s">
        <v>192</v>
      </c>
      <c r="G38" s="398"/>
      <c r="H38" s="269"/>
      <c r="I38" s="269"/>
      <c r="J38" s="269"/>
      <c r="K38" s="269"/>
      <c r="L38" s="270"/>
      <c r="M38" s="1200"/>
      <c r="N38" s="1200"/>
      <c r="O38" s="1226" t="s">
        <v>513</v>
      </c>
      <c r="P38" s="1200"/>
      <c r="Q38" s="593"/>
    </row>
    <row r="39" spans="2:23">
      <c r="B39" s="268"/>
      <c r="C39" s="271"/>
      <c r="D39" s="271"/>
      <c r="E39" s="271"/>
      <c r="F39" s="1015" t="s">
        <v>193</v>
      </c>
      <c r="G39" s="239"/>
      <c r="H39" s="271"/>
      <c r="I39" s="271"/>
      <c r="J39" s="271"/>
      <c r="K39" s="271"/>
      <c r="L39" s="268"/>
      <c r="M39" s="268"/>
      <c r="N39" s="268"/>
      <c r="O39" s="268"/>
      <c r="P39" s="268"/>
      <c r="Q39" s="594"/>
    </row>
    <row r="40" spans="2:23">
      <c r="B40" s="268"/>
      <c r="C40" s="271"/>
      <c r="D40" s="271"/>
      <c r="E40" s="271"/>
      <c r="F40" s="1015" t="s">
        <v>194</v>
      </c>
      <c r="G40" s="239"/>
      <c r="H40" s="271"/>
      <c r="I40" s="271"/>
      <c r="J40" s="271"/>
      <c r="K40" s="271"/>
      <c r="L40" s="268"/>
      <c r="M40" s="268"/>
      <c r="N40" s="268"/>
      <c r="O40" s="268"/>
      <c r="P40" s="268"/>
      <c r="Q40" s="594"/>
    </row>
    <row r="41" spans="2:23" ht="8.4" customHeight="1">
      <c r="B41" s="268"/>
      <c r="C41" s="271"/>
      <c r="D41" s="271"/>
      <c r="E41" s="271"/>
      <c r="F41" s="438"/>
      <c r="G41" s="271"/>
      <c r="H41" s="271"/>
      <c r="I41" s="271"/>
      <c r="J41" s="271"/>
      <c r="K41" s="271"/>
      <c r="L41" s="268"/>
      <c r="M41" s="268"/>
      <c r="N41" s="268"/>
      <c r="O41" s="268"/>
      <c r="P41" s="268"/>
      <c r="Q41" s="594"/>
    </row>
  </sheetData>
  <mergeCells count="4">
    <mergeCell ref="C5:D5"/>
    <mergeCell ref="F19:I20"/>
    <mergeCell ref="F21:I22"/>
    <mergeCell ref="F28:O29"/>
  </mergeCells>
  <hyperlinks>
    <hyperlink ref="C5" location="'WACC BIPT &amp; Cullen 2013'!A1" display="'WACC BIPT &amp; Cullen 2013'!A1"/>
    <hyperlink ref="C31" location="Outputs!A1" display="Outputs!A1"/>
    <hyperlink ref="C33" location="'For Simulations'!A1" display="'For Simulations'!A1"/>
    <hyperlink ref="C35" location="'(Cullen 2010 Fixed)'!A1" display="Cullen 2010 Fixed"/>
    <hyperlink ref="C36" location="'(Cullen 2010 Mobile)'!A1" display="Cullen 2010 Mobile"/>
  </hyperlink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sheetPr>
    <tabColor rgb="FFFFC000"/>
  </sheetPr>
  <dimension ref="A1:CT127"/>
  <sheetViews>
    <sheetView showGridLines="0" topLeftCell="B1" zoomScale="90" zoomScaleNormal="90" workbookViewId="0">
      <pane xSplit="2" ySplit="1" topLeftCell="D2" activePane="bottomRight" state="frozen"/>
      <selection activeCell="B1" sqref="B1"/>
      <selection pane="topRight" activeCell="D1" sqref="D1"/>
      <selection pane="bottomLeft" activeCell="B2" sqref="B2"/>
      <selection pane="bottomRight" activeCell="CO105" sqref="CO105"/>
    </sheetView>
  </sheetViews>
  <sheetFormatPr baseColWidth="10" defaultRowHeight="13.2"/>
  <cols>
    <col min="1" max="1" width="22.109375" style="222" bestFit="1" customWidth="1"/>
    <col min="2" max="2" width="24.5546875" style="128" bestFit="1" customWidth="1"/>
    <col min="3" max="3" width="6.21875" style="128" customWidth="1"/>
    <col min="4" max="4" width="7.21875" style="66" customWidth="1"/>
    <col min="5" max="6" width="7.21875" style="67" customWidth="1"/>
    <col min="7" max="7" width="7.21875" style="49" customWidth="1"/>
    <col min="8" max="9" width="7.21875" style="67" customWidth="1"/>
    <col min="10" max="10" width="7.21875" style="49" customWidth="1"/>
    <col min="11" max="12" width="7.21875" style="67" customWidth="1"/>
    <col min="13" max="13" width="7.21875" style="49" customWidth="1"/>
    <col min="14" max="15" width="7.21875" style="67" customWidth="1"/>
    <col min="16" max="16" width="8" style="49" customWidth="1"/>
    <col min="17" max="18" width="7.21875" style="67" customWidth="1"/>
    <col min="19" max="19" width="2" style="111" bestFit="1" customWidth="1"/>
    <col min="20" max="20" width="6.44140625" style="47" customWidth="1"/>
    <col min="21" max="21" width="10.109375" style="47" bestFit="1" customWidth="1"/>
    <col min="22" max="22" width="8.88671875" style="47" customWidth="1"/>
    <col min="23" max="23" width="9.21875" style="69" bestFit="1" customWidth="1"/>
    <col min="24" max="24" width="8.5546875" style="69" bestFit="1" customWidth="1"/>
    <col min="25" max="25" width="8.109375" style="47" bestFit="1" customWidth="1"/>
    <col min="26" max="26" width="14.88671875" style="47" bestFit="1" customWidth="1"/>
    <col min="27" max="27" width="6.109375" style="67" hidden="1" customWidth="1"/>
    <col min="28" max="28" width="10.109375" style="69" hidden="1" customWidth="1"/>
    <col min="29" max="29" width="15.77734375" style="69" hidden="1" customWidth="1"/>
    <col min="30" max="30" width="12" style="69" hidden="1" customWidth="1"/>
    <col min="31" max="31" width="7.88671875" style="69" hidden="1" customWidth="1"/>
    <col min="32" max="32" width="7.77734375" style="69" hidden="1" customWidth="1"/>
    <col min="33" max="33" width="5" style="47" hidden="1" customWidth="1"/>
    <col min="34" max="34" width="7" style="47" customWidth="1"/>
    <col min="35" max="35" width="6.6640625" style="67" customWidth="1"/>
    <col min="36" max="36" width="10.6640625" style="261" customWidth="1"/>
    <col min="37" max="37" width="10" style="261" customWidth="1"/>
    <col min="38" max="38" width="7" style="261" customWidth="1"/>
    <col min="39" max="39" width="7" style="485" customWidth="1"/>
    <col min="40" max="40" width="7" style="484" customWidth="1"/>
    <col min="41" max="41" width="14" style="48" customWidth="1"/>
    <col min="42" max="42" width="11.44140625" style="48" customWidth="1"/>
    <col min="43" max="43" width="14.21875" style="48" customWidth="1"/>
    <col min="44" max="44" width="12" style="48" customWidth="1"/>
    <col min="45" max="45" width="11.5546875" style="48"/>
    <col min="46" max="46" width="12.33203125" style="48" customWidth="1"/>
    <col min="47" max="48" width="11.5546875" style="48"/>
    <col min="49" max="49" width="14.21875" style="48" customWidth="1"/>
    <col min="50" max="50" width="11.5546875" style="48" customWidth="1"/>
    <col min="51" max="51" width="11.6640625" style="369" customWidth="1"/>
    <col min="52" max="52" width="12.77734375" style="48" customWidth="1"/>
    <col min="53" max="53" width="11.5546875" style="48" customWidth="1"/>
    <col min="54" max="54" width="13.6640625" style="48" customWidth="1"/>
    <col min="55" max="56" width="11.6640625" style="48" customWidth="1"/>
    <col min="57" max="65" width="11.5546875" style="48"/>
    <col min="66" max="66" width="13.6640625" style="48" customWidth="1"/>
    <col min="67" max="67" width="11.5546875" style="369"/>
    <col min="68" max="68" width="12.77734375" style="48" customWidth="1"/>
    <col min="69" max="69" width="11.6640625" style="48" bestFit="1" customWidth="1"/>
    <col min="70" max="70" width="13.6640625" style="48" customWidth="1"/>
    <col min="71" max="71" width="11.6640625" style="48" bestFit="1" customWidth="1"/>
    <col min="72" max="72" width="12.5546875" style="48" customWidth="1"/>
    <col min="73" max="82" width="11.5546875" style="48"/>
    <col min="83" max="83" width="13.33203125" style="369" customWidth="1"/>
    <col min="84" max="84" width="13.44140625" style="48" customWidth="1"/>
    <col min="85" max="85" width="11.6640625" style="48" customWidth="1"/>
    <col min="86" max="86" width="12.77734375" style="48" customWidth="1"/>
    <col min="87" max="87" width="11.6640625" style="48" customWidth="1"/>
    <col min="88" max="88" width="11.5546875" style="48" customWidth="1"/>
    <col min="89" max="89" width="16.21875" style="48" customWidth="1"/>
    <col min="90" max="90" width="17.109375" style="48" customWidth="1"/>
    <col min="91" max="97" width="11.5546875" style="48"/>
    <col min="98" max="98" width="11.5546875" style="351"/>
    <col min="99" max="16384" width="11.5546875" style="48"/>
  </cols>
  <sheetData>
    <row r="1" spans="1:98" s="26" customFormat="1">
      <c r="A1" s="220"/>
      <c r="B1" s="1301" t="s">
        <v>402</v>
      </c>
      <c r="C1" s="1302"/>
      <c r="D1" s="345"/>
      <c r="E1" s="917" t="s">
        <v>135</v>
      </c>
      <c r="F1" s="918" t="s">
        <v>136</v>
      </c>
      <c r="G1" s="1120"/>
      <c r="H1" s="917" t="s">
        <v>135</v>
      </c>
      <c r="I1" s="918" t="s">
        <v>136</v>
      </c>
      <c r="J1" s="1120"/>
      <c r="K1" s="917" t="s">
        <v>135</v>
      </c>
      <c r="L1" s="918" t="s">
        <v>136</v>
      </c>
      <c r="M1" s="1121"/>
      <c r="N1" s="917" t="s">
        <v>135</v>
      </c>
      <c r="O1" s="918" t="s">
        <v>136</v>
      </c>
      <c r="P1" s="1120"/>
      <c r="Q1" s="917" t="s">
        <v>135</v>
      </c>
      <c r="R1" s="918" t="s">
        <v>136</v>
      </c>
      <c r="S1" s="930"/>
      <c r="T1" s="30"/>
      <c r="U1" s="455" t="s">
        <v>177</v>
      </c>
      <c r="V1" s="132" t="s">
        <v>352</v>
      </c>
      <c r="W1" s="27"/>
      <c r="X1" s="132"/>
      <c r="Y1" s="132"/>
      <c r="Z1" s="30"/>
      <c r="AA1" s="449"/>
      <c r="AB1" s="346" t="s">
        <v>177</v>
      </c>
      <c r="AC1" s="132" t="s">
        <v>306</v>
      </c>
      <c r="AD1" s="27"/>
      <c r="AE1" s="28"/>
      <c r="AF1" s="29"/>
      <c r="AG1" s="30"/>
      <c r="AH1" s="30"/>
      <c r="AI1" s="1125"/>
      <c r="AJ1" s="1300" t="s">
        <v>403</v>
      </c>
      <c r="AK1" s="1300"/>
      <c r="AL1" s="1126"/>
      <c r="AM1" s="545"/>
      <c r="AN1" s="467"/>
      <c r="AO1" s="555" t="s">
        <v>292</v>
      </c>
      <c r="AP1" s="466"/>
      <c r="AQ1" s="675" t="s">
        <v>399</v>
      </c>
      <c r="AR1" s="408" t="s">
        <v>358</v>
      </c>
      <c r="AU1" s="276"/>
      <c r="AY1" s="497" t="s">
        <v>338</v>
      </c>
      <c r="AZ1" s="343" t="s">
        <v>313</v>
      </c>
      <c r="BA1" s="360">
        <f>AVERAGE(BC55:BC57,BC59:BC61,BC63:BC72)</f>
        <v>8.7926551848204804E-2</v>
      </c>
      <c r="BB1" s="343" t="s">
        <v>265</v>
      </c>
      <c r="BC1" s="344">
        <f>MEDIAN(BC55:BC57,BC59:BC61,BC63:BC72)</f>
        <v>9.6962414785638537E-2</v>
      </c>
      <c r="BD1" s="362" t="s">
        <v>405</v>
      </c>
      <c r="BE1" s="280"/>
      <c r="BF1" s="276" t="s">
        <v>326</v>
      </c>
      <c r="BG1" s="640"/>
      <c r="BH1" s="641"/>
      <c r="BI1" s="491" t="s">
        <v>321</v>
      </c>
      <c r="BJ1" s="644" t="s">
        <v>410</v>
      </c>
      <c r="BK1" s="642" t="s">
        <v>391</v>
      </c>
      <c r="BL1" s="491" t="s">
        <v>319</v>
      </c>
      <c r="BM1" s="643" t="s">
        <v>332</v>
      </c>
      <c r="BO1" s="497" t="s">
        <v>339</v>
      </c>
      <c r="BP1" s="343" t="s">
        <v>264</v>
      </c>
      <c r="BQ1" s="360">
        <f>AVERAGE(BS55:BS58,BS60:BS69)</f>
        <v>9.6799359404419222E-2</v>
      </c>
      <c r="BR1" s="343" t="s">
        <v>265</v>
      </c>
      <c r="BS1" s="344">
        <f>MEDIAN(BS55:BS58,BS60:BS69)</f>
        <v>0.1009955158309347</v>
      </c>
      <c r="BT1" s="362" t="s">
        <v>405</v>
      </c>
      <c r="BU1" s="280"/>
      <c r="BV1" s="276" t="s">
        <v>326</v>
      </c>
      <c r="BW1" s="640"/>
      <c r="BX1" s="641"/>
      <c r="BY1" s="491" t="s">
        <v>321</v>
      </c>
      <c r="BZ1" s="644" t="s">
        <v>411</v>
      </c>
      <c r="CA1" s="642" t="s">
        <v>327</v>
      </c>
      <c r="CB1" s="491" t="s">
        <v>323</v>
      </c>
      <c r="CC1" s="643" t="s">
        <v>329</v>
      </c>
      <c r="CE1" s="497" t="s">
        <v>334</v>
      </c>
      <c r="CF1" s="343" t="s">
        <v>313</v>
      </c>
      <c r="CG1" s="360">
        <f>AVERAGE(CJ55:CJ62,CJ64:CJ68)</f>
        <v>4.0435540069686414E-3</v>
      </c>
      <c r="CH1" s="343" t="s">
        <v>265</v>
      </c>
      <c r="CI1" s="344">
        <f>MEDIAN(CJ55:CJ62,CJ64:CJ68)</f>
        <v>5.0000000000000044E-3</v>
      </c>
      <c r="CJ1" s="362" t="s">
        <v>359</v>
      </c>
      <c r="CK1" s="280"/>
      <c r="CL1" s="276" t="s">
        <v>326</v>
      </c>
      <c r="CM1" s="645"/>
      <c r="CN1" s="646"/>
      <c r="CO1" s="486" t="s">
        <v>321</v>
      </c>
      <c r="CP1" s="647" t="s">
        <v>413</v>
      </c>
      <c r="CQ1" s="504" t="s">
        <v>441</v>
      </c>
      <c r="CR1" s="486" t="s">
        <v>345</v>
      </c>
      <c r="CS1" s="648" t="s">
        <v>344</v>
      </c>
      <c r="CT1" s="639" t="s">
        <v>418</v>
      </c>
    </row>
    <row r="2" spans="1:98" s="39" customFormat="1">
      <c r="A2" s="221"/>
      <c r="B2" s="989" t="s">
        <v>151</v>
      </c>
      <c r="C2" s="990"/>
      <c r="D2" s="42" t="s">
        <v>159</v>
      </c>
      <c r="E2" s="257" t="str">
        <f>D2</f>
        <v>10Y</v>
      </c>
      <c r="F2" s="257" t="str">
        <f>D2</f>
        <v>10Y</v>
      </c>
      <c r="G2" s="42" t="str">
        <f>J2</f>
        <v>10Y</v>
      </c>
      <c r="H2" s="257" t="str">
        <f>G2</f>
        <v>10Y</v>
      </c>
      <c r="I2" s="257" t="str">
        <f>G2</f>
        <v>10Y</v>
      </c>
      <c r="J2" s="129" t="s">
        <v>159</v>
      </c>
      <c r="K2" s="257" t="str">
        <f>J2</f>
        <v>10Y</v>
      </c>
      <c r="L2" s="257" t="str">
        <f>J2</f>
        <v>10Y</v>
      </c>
      <c r="M2" s="42" t="str">
        <f>P2</f>
        <v>10Y</v>
      </c>
      <c r="N2" s="257" t="str">
        <f>M2</f>
        <v>10Y</v>
      </c>
      <c r="O2" s="257" t="str">
        <f>M2</f>
        <v>10Y</v>
      </c>
      <c r="P2" s="129" t="s">
        <v>159</v>
      </c>
      <c r="Q2" s="257" t="str">
        <f>P2</f>
        <v>10Y</v>
      </c>
      <c r="R2" s="257" t="str">
        <f>P2</f>
        <v>10Y</v>
      </c>
      <c r="S2" s="931"/>
      <c r="T2" s="38"/>
      <c r="U2" s="66" t="s">
        <v>159</v>
      </c>
      <c r="V2" s="38"/>
      <c r="W2" s="35"/>
      <c r="X2" s="35"/>
      <c r="Y2" s="38"/>
      <c r="Z2" s="452" t="s">
        <v>151</v>
      </c>
      <c r="AA2" s="528"/>
      <c r="AB2" s="34"/>
      <c r="AC2" s="35"/>
      <c r="AD2" s="36"/>
      <c r="AE2" s="35"/>
      <c r="AF2" s="37"/>
      <c r="AG2" s="38"/>
      <c r="AH2" s="534"/>
      <c r="AI2" s="976" t="str">
        <f>IF(D2=$U$2,"","!!!")</f>
        <v/>
      </c>
      <c r="AJ2" s="976" t="str">
        <f>IF(J2=$U$2,"","!!!")</f>
        <v/>
      </c>
      <c r="AK2" s="976" t="str">
        <f>IF(P2=$U$2,"","!!!")</f>
        <v/>
      </c>
      <c r="AL2" s="975" t="str">
        <f>IF(M2=$U$2,"","!!!")</f>
        <v/>
      </c>
      <c r="AM2" s="539"/>
      <c r="AN2" s="443"/>
      <c r="AY2" s="367"/>
      <c r="AZ2" s="489" t="s">
        <v>406</v>
      </c>
      <c r="BA2" s="494">
        <f>$J$28-BA1</f>
        <v>-6.3712140294499425E-3</v>
      </c>
      <c r="BB2" s="491" t="s">
        <v>407</v>
      </c>
      <c r="BC2" s="490">
        <f>$J$28-BC1</f>
        <v>-1.5407076966883676E-2</v>
      </c>
      <c r="BD2" s="492" t="s">
        <v>314</v>
      </c>
      <c r="BE2" s="493"/>
      <c r="BG2" s="402"/>
      <c r="BH2" s="26"/>
      <c r="BI2" s="502" t="s">
        <v>320</v>
      </c>
      <c r="BJ2" s="491" t="s">
        <v>319</v>
      </c>
      <c r="BK2" s="642" t="s">
        <v>331</v>
      </c>
      <c r="BL2" s="491" t="s">
        <v>322</v>
      </c>
      <c r="BM2" s="643" t="s">
        <v>333</v>
      </c>
      <c r="BO2" s="367"/>
      <c r="BP2" s="489" t="s">
        <v>406</v>
      </c>
      <c r="BQ2" s="494">
        <f>$P$28-BQ1</f>
        <v>-8.9646632190611003E-3</v>
      </c>
      <c r="BR2" s="491" t="s">
        <v>412</v>
      </c>
      <c r="BS2" s="490">
        <f>$AV$7-BS1</f>
        <v>1.9455158309347048E-3</v>
      </c>
      <c r="BT2" s="492" t="s">
        <v>314</v>
      </c>
      <c r="BU2" s="493"/>
      <c r="BW2" s="402"/>
      <c r="BX2" s="26"/>
      <c r="BY2" s="502" t="s">
        <v>320</v>
      </c>
      <c r="BZ2" s="491" t="s">
        <v>323</v>
      </c>
      <c r="CA2" s="642" t="s">
        <v>328</v>
      </c>
      <c r="CB2" s="491" t="s">
        <v>324</v>
      </c>
      <c r="CC2" s="643" t="s">
        <v>330</v>
      </c>
      <c r="CE2" s="367"/>
      <c r="CF2" s="489" t="s">
        <v>406</v>
      </c>
      <c r="CG2" s="494">
        <f>$CJ$63-CG1</f>
        <v>2.235804359634619E-3</v>
      </c>
      <c r="CH2" s="491" t="s">
        <v>412</v>
      </c>
      <c r="CI2" s="490">
        <f>$CJ$63-CI1</f>
        <v>1.279358366603256E-3</v>
      </c>
      <c r="CJ2" s="492" t="s">
        <v>314</v>
      </c>
      <c r="CK2" s="493"/>
      <c r="CM2" s="402"/>
      <c r="CN2" s="26"/>
      <c r="CO2" s="502" t="s">
        <v>320</v>
      </c>
      <c r="CP2" s="502" t="s">
        <v>345</v>
      </c>
      <c r="CQ2" s="503" t="s">
        <v>348</v>
      </c>
      <c r="CR2" s="502" t="s">
        <v>324</v>
      </c>
      <c r="CS2" s="649" t="s">
        <v>349</v>
      </c>
      <c r="CT2" s="363"/>
    </row>
    <row r="3" spans="1:98">
      <c r="A3" s="222" t="s">
        <v>7</v>
      </c>
      <c r="B3" s="1286" t="s">
        <v>0</v>
      </c>
      <c r="C3" s="1287"/>
      <c r="D3" s="249">
        <f>HLOOKUP(D2,$E$56:$Q$59,2,FALSE)/100</f>
        <v>2.6303155319238606E-2</v>
      </c>
      <c r="E3" s="916">
        <f>HLOOKUP(E2,$E$56:$Q$59,3,FALSE)/100</f>
        <v>2.1543636942675169E-2</v>
      </c>
      <c r="F3" s="916">
        <f>HLOOKUP(F2,$E$56:$Q$59,4,FALSE)/100</f>
        <v>3.4791202534501686E-2</v>
      </c>
      <c r="G3" s="249">
        <f>HLOOKUP(G2,$E$56:$Q$59,2,FALSE)/100</f>
        <v>2.6303155319238606E-2</v>
      </c>
      <c r="H3" s="916">
        <f>HLOOKUP(H2,$E$56:$Q$59,3,FALSE)/100</f>
        <v>2.1543636942675169E-2</v>
      </c>
      <c r="I3" s="916">
        <f>HLOOKUP(I2,$E$56:$Q$59,4,FALSE)/100</f>
        <v>3.4791202534501686E-2</v>
      </c>
      <c r="J3" s="129">
        <f>HLOOKUP(J2,$E$56:$Q$59,2,FALSE)/100</f>
        <v>2.6303155319238606E-2</v>
      </c>
      <c r="K3" s="916">
        <f>HLOOKUP(K2,$E$56:$Q$59,3,FALSE)/100</f>
        <v>2.1543636942675169E-2</v>
      </c>
      <c r="L3" s="916">
        <f>HLOOKUP(L2,$E$56:$Q$59,4,FALSE)/100</f>
        <v>3.4791202534501686E-2</v>
      </c>
      <c r="M3" s="249">
        <f>HLOOKUP(M2,$E$56:$Q$59,2,FALSE)/100</f>
        <v>2.6303155319238606E-2</v>
      </c>
      <c r="N3" s="916">
        <f>HLOOKUP(N2,$E$56:$Q$59,3,FALSE)/100</f>
        <v>2.1543636942675169E-2</v>
      </c>
      <c r="O3" s="916">
        <f>HLOOKUP(O2,$E$56:$Q$59,4,FALSE)/100</f>
        <v>3.4791202534501686E-2</v>
      </c>
      <c r="P3" s="129">
        <f>HLOOKUP(P2,$E$56:$Q$59,2,FALSE)/100</f>
        <v>2.6303155319238606E-2</v>
      </c>
      <c r="Q3" s="916">
        <f>HLOOKUP(Q2,$E$56:$Q$59,3,FALSE)/100</f>
        <v>2.1543636942675169E-2</v>
      </c>
      <c r="R3" s="916">
        <f>HLOOKUP(R2,$E$56:$Q$59,4,FALSE)/100</f>
        <v>3.4791202534501686E-2</v>
      </c>
      <c r="S3" s="931"/>
      <c r="U3" s="59">
        <v>0.04</v>
      </c>
      <c r="V3" s="44">
        <f>$U$3</f>
        <v>0.04</v>
      </c>
      <c r="W3" s="44">
        <f>$U$3</f>
        <v>0.04</v>
      </c>
      <c r="X3" s="44">
        <f>$U$3</f>
        <v>0.04</v>
      </c>
      <c r="Y3" s="45">
        <f>$U$3</f>
        <v>0.04</v>
      </c>
      <c r="Z3" s="383" t="s">
        <v>0</v>
      </c>
      <c r="AA3" s="529"/>
      <c r="AB3" s="46">
        <v>3.9E-2</v>
      </c>
      <c r="AC3" s="44">
        <f>$AB$3</f>
        <v>3.9E-2</v>
      </c>
      <c r="AD3" s="44">
        <f>$AB$3</f>
        <v>3.9E-2</v>
      </c>
      <c r="AE3" s="44">
        <f>$AB$3</f>
        <v>3.9E-2</v>
      </c>
      <c r="AF3" s="45">
        <f>$AB$3</f>
        <v>3.9E-2</v>
      </c>
      <c r="AH3" s="484"/>
      <c r="AI3" s="931">
        <f>D3-U3</f>
        <v>-1.3696844680761395E-2</v>
      </c>
      <c r="AJ3" s="966">
        <f>J3-V3</f>
        <v>-1.3696844680761395E-2</v>
      </c>
      <c r="AK3" s="108">
        <f>P3-Y3</f>
        <v>-1.3696844680761395E-2</v>
      </c>
      <c r="AL3" s="1026">
        <f>M3-X3</f>
        <v>-1.3696844680761395E-2</v>
      </c>
      <c r="AM3" s="40"/>
      <c r="AN3" s="443"/>
      <c r="AO3" s="281" t="s">
        <v>201</v>
      </c>
      <c r="AP3" s="278" t="s">
        <v>200</v>
      </c>
      <c r="AQ3" s="278" t="s">
        <v>196</v>
      </c>
      <c r="AR3" s="279" t="s">
        <v>353</v>
      </c>
      <c r="AS3" s="278" t="s">
        <v>242</v>
      </c>
      <c r="AT3" s="278" t="s">
        <v>197</v>
      </c>
      <c r="AU3" s="278" t="s">
        <v>198</v>
      </c>
      <c r="AV3" s="277" t="s">
        <v>76</v>
      </c>
      <c r="AW3" s="278" t="s">
        <v>238</v>
      </c>
      <c r="BF3" s="41"/>
      <c r="BG3" s="41"/>
      <c r="BH3" s="41"/>
      <c r="BK3" s="41"/>
      <c r="BL3" s="41"/>
      <c r="BM3" s="41"/>
      <c r="BN3" s="41"/>
      <c r="BV3" s="41"/>
      <c r="BZ3" s="399"/>
      <c r="CF3" s="102"/>
      <c r="CG3" s="102"/>
      <c r="CH3" s="505" t="s">
        <v>342</v>
      </c>
      <c r="CI3" s="434">
        <f>BB68</f>
        <v>38810</v>
      </c>
      <c r="CJ3" s="337" t="s">
        <v>335</v>
      </c>
      <c r="CK3" s="434">
        <f>BR69</f>
        <v>41255</v>
      </c>
      <c r="CL3" s="41"/>
    </row>
    <row r="4" spans="1:98" s="31" customFormat="1">
      <c r="A4" s="221" t="s">
        <v>133</v>
      </c>
      <c r="B4" s="1286" t="s">
        <v>446</v>
      </c>
      <c r="C4" s="1287"/>
      <c r="D4" s="201">
        <f>HLOOKUP(D2,$E$60:$Q$63,2,FALSE)/100</f>
        <v>6.4031868806607058E-3</v>
      </c>
      <c r="E4" s="916">
        <f>HLOOKUP(E2,$E$60:$Q$63,3,FALSE)/100</f>
        <v>6.454065477657079E-3</v>
      </c>
      <c r="F4" s="916">
        <f>HLOOKUP(F2,$E$60:$Q$63,4,FALSE)/100</f>
        <v>7.6673911259305507E-3</v>
      </c>
      <c r="G4" s="201">
        <f>HLOOKUP(G2,$E$60:$Q$63,2,FALSE)/100</f>
        <v>6.4031868806607058E-3</v>
      </c>
      <c r="H4" s="916">
        <f>HLOOKUP(H2,$E$60:$Q$63,3,FALSE)/100</f>
        <v>6.454065477657079E-3</v>
      </c>
      <c r="I4" s="916">
        <f>HLOOKUP(I2,$E$60:$Q$63,4,FALSE)/100</f>
        <v>7.6673911259305507E-3</v>
      </c>
      <c r="J4" s="59">
        <f>HLOOKUP(J2,$E$60:$Q$63,2,FALSE)/100</f>
        <v>6.4031868806607058E-3</v>
      </c>
      <c r="K4" s="916">
        <f>HLOOKUP(K2,$E$60:$Q$63,3,FALSE)/100</f>
        <v>6.454065477657079E-3</v>
      </c>
      <c r="L4" s="916">
        <f>HLOOKUP(L2,$E$60:$Q$63,4,FALSE)/100</f>
        <v>7.6673911259305507E-3</v>
      </c>
      <c r="M4" s="201">
        <f>HLOOKUP(M2,$E$60:$Q$63,2,FALSE)/100</f>
        <v>6.4031868806607058E-3</v>
      </c>
      <c r="N4" s="916">
        <f>HLOOKUP(N2,$E$60:$Q$63,3,FALSE)/100</f>
        <v>6.454065477657079E-3</v>
      </c>
      <c r="O4" s="916">
        <f>HLOOKUP(O2,$E$60:$Q$63,4,FALSE)/100</f>
        <v>7.6673911259305507E-3</v>
      </c>
      <c r="P4" s="59">
        <f>HLOOKUP(P2,$E$60:$Q$63,2,FALSE)/100</f>
        <v>6.4031868806607058E-3</v>
      </c>
      <c r="Q4" s="916">
        <f>HLOOKUP(Q2,$E$60:$Q$63,3,FALSE)/100</f>
        <v>6.454065477657079E-3</v>
      </c>
      <c r="R4" s="916">
        <f>HLOOKUP(R2,$E$60:$Q$63,4,FALSE)/100</f>
        <v>7.6673911259305507E-3</v>
      </c>
      <c r="S4" s="932"/>
      <c r="T4" s="49"/>
      <c r="U4" s="56"/>
      <c r="V4" s="44"/>
      <c r="W4" s="44"/>
      <c r="X4" s="44"/>
      <c r="Y4" s="44"/>
      <c r="Z4" s="452" t="s">
        <v>283</v>
      </c>
      <c r="AA4" s="221"/>
      <c r="AB4" s="53"/>
      <c r="AC4" s="54"/>
      <c r="AD4" s="54"/>
      <c r="AE4" s="54"/>
      <c r="AF4" s="55"/>
      <c r="AG4" s="49"/>
      <c r="AH4" s="484"/>
      <c r="AI4" s="931">
        <f t="shared" ref="AI4:AI6" si="0">D4-U4</f>
        <v>6.4031868806607058E-3</v>
      </c>
      <c r="AJ4" s="966">
        <f t="shared" ref="AJ4:AJ6" si="1">J4-V4</f>
        <v>6.4031868806607058E-3</v>
      </c>
      <c r="AK4" s="108">
        <f t="shared" ref="AK4:AK6" si="2">P4-Y4</f>
        <v>6.4031868806607058E-3</v>
      </c>
      <c r="AL4" s="1026">
        <f t="shared" ref="AL4:AL6" si="3">M4-X4</f>
        <v>6.4031868806607058E-3</v>
      </c>
      <c r="AM4" s="82"/>
      <c r="AN4" s="83"/>
      <c r="AO4" s="273" t="s">
        <v>202</v>
      </c>
      <c r="AP4" s="273" t="s">
        <v>230</v>
      </c>
      <c r="AQ4" s="296">
        <v>41334</v>
      </c>
      <c r="AR4" s="304">
        <v>7.0699999999999999E-2</v>
      </c>
      <c r="AS4" s="317" t="s">
        <v>237</v>
      </c>
      <c r="AT4" s="318" t="s">
        <v>199</v>
      </c>
      <c r="AU4" s="318" t="s">
        <v>199</v>
      </c>
      <c r="AV4" s="311">
        <v>7.0699999999999999E-2</v>
      </c>
      <c r="AW4" s="291">
        <v>41275</v>
      </c>
      <c r="AY4" s="368"/>
      <c r="AZ4" s="495" t="s">
        <v>336</v>
      </c>
      <c r="BA4" s="487">
        <f>'(Cullen 2010 Fixed)'!N21</f>
        <v>0.10157187500000001</v>
      </c>
      <c r="BB4" s="486" t="s">
        <v>315</v>
      </c>
      <c r="BC4" s="487">
        <f>'(Cullen 2010 Fixed)'!N22</f>
        <v>0.102325</v>
      </c>
      <c r="BD4" s="488" t="s">
        <v>316</v>
      </c>
      <c r="BE4" s="496"/>
      <c r="BF4" s="31" t="s">
        <v>325</v>
      </c>
      <c r="BO4" s="368"/>
      <c r="BP4" s="495" t="s">
        <v>336</v>
      </c>
      <c r="BQ4" s="487">
        <f>'(Cullen 2010 Mobile)'!M18</f>
        <v>0.12073194444444446</v>
      </c>
      <c r="BR4" s="486" t="s">
        <v>315</v>
      </c>
      <c r="BS4" s="487">
        <f>'(Cullen 2010 Mobile)'!M19</f>
        <v>0.12090000000000001</v>
      </c>
      <c r="BT4" s="488" t="s">
        <v>316</v>
      </c>
      <c r="BU4" s="496"/>
      <c r="BV4" s="31" t="s">
        <v>325</v>
      </c>
      <c r="CE4" s="368"/>
      <c r="CF4" s="495" t="s">
        <v>336</v>
      </c>
      <c r="CG4" s="487">
        <f>'(Cullen 2010 Mobile)'!T27</f>
        <v>2.0377777777777769E-2</v>
      </c>
      <c r="CH4" s="486" t="s">
        <v>315</v>
      </c>
      <c r="CI4" s="487">
        <f>'(Cullen 2010 Mobile)'!T28</f>
        <v>1.8149999999999993E-2</v>
      </c>
      <c r="CJ4" s="488" t="s">
        <v>316</v>
      </c>
      <c r="CK4" s="496"/>
      <c r="CL4" s="31" t="s">
        <v>325</v>
      </c>
      <c r="CT4" s="386"/>
    </row>
    <row r="5" spans="1:98">
      <c r="A5" s="222" t="s">
        <v>8</v>
      </c>
      <c r="B5" s="1286" t="s">
        <v>447</v>
      </c>
      <c r="C5" s="1287"/>
      <c r="D5" s="252">
        <f>$J$5</f>
        <v>5.3854791237840642E-2</v>
      </c>
      <c r="E5" s="253">
        <f>$K$5</f>
        <v>5.135479123784064E-2</v>
      </c>
      <c r="F5" s="254">
        <f>$L$5</f>
        <v>5.6354791237840644E-2</v>
      </c>
      <c r="G5" s="252">
        <f>$J$5</f>
        <v>5.3854791237840642E-2</v>
      </c>
      <c r="H5" s="253">
        <f>$K$5</f>
        <v>5.135479123784064E-2</v>
      </c>
      <c r="I5" s="254">
        <f>$L$5</f>
        <v>5.6354791237840644E-2</v>
      </c>
      <c r="J5" s="129">
        <f>D55/100</f>
        <v>5.3854791237840642E-2</v>
      </c>
      <c r="K5" s="926">
        <f>J5-0.25%</f>
        <v>5.135479123784064E-2</v>
      </c>
      <c r="L5" s="926">
        <f>J5+0.25%</f>
        <v>5.6354791237840644E-2</v>
      </c>
      <c r="M5" s="252">
        <f>$J$5</f>
        <v>5.3854791237840642E-2</v>
      </c>
      <c r="N5" s="253">
        <f>$K$5</f>
        <v>5.135479123784064E-2</v>
      </c>
      <c r="O5" s="254">
        <f>$L$5</f>
        <v>5.6354791237840644E-2</v>
      </c>
      <c r="P5" s="252">
        <f>$J$5</f>
        <v>5.3854791237840642E-2</v>
      </c>
      <c r="Q5" s="253">
        <f>$K$5</f>
        <v>5.135479123784064E-2</v>
      </c>
      <c r="R5" s="254">
        <f>$L$5</f>
        <v>5.6354791237840644E-2</v>
      </c>
      <c r="S5" s="932"/>
      <c r="U5" s="59">
        <v>5.2499999999999998E-2</v>
      </c>
      <c r="V5" s="44">
        <f>$U$5</f>
        <v>5.2499999999999998E-2</v>
      </c>
      <c r="W5" s="44">
        <f>$U$5</f>
        <v>5.2499999999999998E-2</v>
      </c>
      <c r="X5" s="44">
        <f>$U$5</f>
        <v>5.2499999999999998E-2</v>
      </c>
      <c r="Y5" s="45">
        <f>$U$5</f>
        <v>5.2499999999999998E-2</v>
      </c>
      <c r="Z5" s="383" t="s">
        <v>132</v>
      </c>
      <c r="AA5" s="529"/>
      <c r="AB5" s="59">
        <v>5.5E-2</v>
      </c>
      <c r="AC5" s="44">
        <f>$AB$5</f>
        <v>5.5E-2</v>
      </c>
      <c r="AD5" s="44">
        <f>$AB$5</f>
        <v>5.5E-2</v>
      </c>
      <c r="AE5" s="44">
        <f>$AB$5</f>
        <v>5.5E-2</v>
      </c>
      <c r="AF5" s="45">
        <f>$AB$5</f>
        <v>5.5E-2</v>
      </c>
      <c r="AH5" s="484"/>
      <c r="AI5" s="931">
        <f t="shared" si="0"/>
        <v>1.354791237840644E-3</v>
      </c>
      <c r="AJ5" s="966">
        <f t="shared" si="1"/>
        <v>1.354791237840644E-3</v>
      </c>
      <c r="AK5" s="108">
        <f t="shared" si="2"/>
        <v>1.354791237840644E-3</v>
      </c>
      <c r="AL5" s="1026">
        <f t="shared" si="3"/>
        <v>1.354791237840644E-3</v>
      </c>
      <c r="AM5" s="82"/>
      <c r="AN5" s="83"/>
      <c r="AO5" s="275" t="s">
        <v>195</v>
      </c>
      <c r="AP5" s="275" t="s">
        <v>229</v>
      </c>
      <c r="AQ5" s="297">
        <v>41351</v>
      </c>
      <c r="AR5" s="307">
        <v>0.1053</v>
      </c>
      <c r="AS5" s="319" t="s">
        <v>199</v>
      </c>
      <c r="AT5" s="318" t="s">
        <v>199</v>
      </c>
      <c r="AU5" s="318" t="s">
        <v>199</v>
      </c>
      <c r="AV5" s="312">
        <v>0.1137</v>
      </c>
      <c r="AW5" s="289"/>
      <c r="AZ5" s="489" t="s">
        <v>408</v>
      </c>
      <c r="BA5" s="494">
        <f>$AR$7-BA4</f>
        <v>-2.6470454287229328E-3</v>
      </c>
      <c r="BB5" s="491" t="s">
        <v>409</v>
      </c>
      <c r="BC5" s="490">
        <f>$AR$7-BC4</f>
        <v>-3.4001704287229262E-3</v>
      </c>
      <c r="BD5" s="492" t="s">
        <v>314</v>
      </c>
      <c r="BE5" s="493"/>
      <c r="BF5" s="207"/>
      <c r="BG5" s="207"/>
      <c r="BH5" s="207"/>
      <c r="BI5" s="207"/>
      <c r="BJ5" s="207"/>
      <c r="BK5" s="207"/>
      <c r="BL5" s="207"/>
      <c r="BM5" s="207"/>
      <c r="BN5" s="207"/>
      <c r="BP5" s="489" t="s">
        <v>408</v>
      </c>
      <c r="BQ5" s="494">
        <f>$AV$7-BQ4</f>
        <v>-1.7790912782575052E-2</v>
      </c>
      <c r="BR5" s="491" t="s">
        <v>409</v>
      </c>
      <c r="BS5" s="490">
        <f>$AV$7-BS4</f>
        <v>-1.7958968338130599E-2</v>
      </c>
      <c r="BT5" s="492" t="s">
        <v>314</v>
      </c>
      <c r="BU5" s="493"/>
      <c r="BV5" s="207"/>
      <c r="CF5" s="489" t="s">
        <v>408</v>
      </c>
      <c r="CG5" s="494">
        <f>$CJ$60-CG4</f>
        <v>-1.6361575687185433E-2</v>
      </c>
      <c r="CH5" s="491" t="s">
        <v>409</v>
      </c>
      <c r="CI5" s="490">
        <f>$CJ$60-CI4</f>
        <v>-1.4133797909407657E-2</v>
      </c>
      <c r="CJ5" s="492" t="s">
        <v>314</v>
      </c>
      <c r="CK5" s="493"/>
      <c r="CL5" s="41" t="s">
        <v>341</v>
      </c>
    </row>
    <row r="6" spans="1:98" s="60" customFormat="1">
      <c r="A6" s="223"/>
      <c r="B6" s="1288" t="s">
        <v>281</v>
      </c>
      <c r="C6" s="1289"/>
      <c r="D6" s="43">
        <f t="shared" ref="D6:F6" si="4">D3+D4+D5</f>
        <v>8.6561133437739954E-2</v>
      </c>
      <c r="E6" s="44">
        <f t="shared" si="4"/>
        <v>7.9352493658172887E-2</v>
      </c>
      <c r="F6" s="45">
        <f t="shared" si="4"/>
        <v>9.8813384898272877E-2</v>
      </c>
      <c r="G6" s="43">
        <f t="shared" ref="G6:R6" si="5">G3+G4+G5</f>
        <v>8.6561133437739954E-2</v>
      </c>
      <c r="H6" s="44">
        <f t="shared" si="5"/>
        <v>7.9352493658172887E-2</v>
      </c>
      <c r="I6" s="45">
        <f t="shared" si="5"/>
        <v>9.8813384898272877E-2</v>
      </c>
      <c r="J6" s="32">
        <f t="shared" si="5"/>
        <v>8.6561133437739954E-2</v>
      </c>
      <c r="K6" s="44">
        <f t="shared" si="5"/>
        <v>7.9352493658172887E-2</v>
      </c>
      <c r="L6" s="45">
        <f t="shared" si="5"/>
        <v>9.8813384898272877E-2</v>
      </c>
      <c r="M6" s="43">
        <f t="shared" si="5"/>
        <v>8.6561133437739954E-2</v>
      </c>
      <c r="N6" s="44">
        <f t="shared" si="5"/>
        <v>7.9352493658172887E-2</v>
      </c>
      <c r="O6" s="45">
        <f t="shared" si="5"/>
        <v>9.8813384898272877E-2</v>
      </c>
      <c r="P6" s="43">
        <f t="shared" si="5"/>
        <v>8.6561133437739954E-2</v>
      </c>
      <c r="Q6" s="44">
        <f t="shared" si="5"/>
        <v>7.9352493658172887E-2</v>
      </c>
      <c r="R6" s="45">
        <f t="shared" si="5"/>
        <v>9.8813384898272877E-2</v>
      </c>
      <c r="S6" s="932"/>
      <c r="T6" s="61"/>
      <c r="U6" s="32">
        <f>U3+U5</f>
        <v>9.2499999999999999E-2</v>
      </c>
      <c r="V6" s="44">
        <f t="shared" ref="V6:Y6" si="6">V3+V5</f>
        <v>9.2499999999999999E-2</v>
      </c>
      <c r="W6" s="44">
        <f t="shared" si="6"/>
        <v>9.2499999999999999E-2</v>
      </c>
      <c r="X6" s="44">
        <f t="shared" si="6"/>
        <v>9.2499999999999999E-2</v>
      </c>
      <c r="Y6" s="44">
        <f t="shared" si="6"/>
        <v>9.2499999999999999E-2</v>
      </c>
      <c r="Z6" s="458" t="s">
        <v>282</v>
      </c>
      <c r="AA6" s="223"/>
      <c r="AB6" s="32">
        <f>AB3+AB5</f>
        <v>9.4E-2</v>
      </c>
      <c r="AC6" s="44"/>
      <c r="AD6" s="44"/>
      <c r="AE6" s="44"/>
      <c r="AF6" s="45"/>
      <c r="AG6" s="61"/>
      <c r="AH6" s="83"/>
      <c r="AI6" s="931">
        <f t="shared" si="0"/>
        <v>-5.9388665622600451E-3</v>
      </c>
      <c r="AJ6" s="40">
        <f t="shared" si="1"/>
        <v>-5.9388665622600451E-3</v>
      </c>
      <c r="AK6" s="108">
        <f t="shared" si="2"/>
        <v>-5.9388665622600451E-3</v>
      </c>
      <c r="AL6" s="1026">
        <f t="shared" si="3"/>
        <v>-5.9388665622600451E-3</v>
      </c>
      <c r="AM6" s="40"/>
      <c r="AN6" s="443"/>
      <c r="AO6" s="285" t="s">
        <v>203</v>
      </c>
      <c r="AP6" s="285" t="s">
        <v>204</v>
      </c>
      <c r="AQ6" s="298">
        <v>40302</v>
      </c>
      <c r="AR6" s="308">
        <v>9.6100000000000005E-2</v>
      </c>
      <c r="AS6" s="320" t="s">
        <v>236</v>
      </c>
      <c r="AT6" s="320" t="s">
        <v>236</v>
      </c>
      <c r="AU6" s="321" t="s">
        <v>199</v>
      </c>
      <c r="AV6" s="313">
        <v>0.10050000000000001</v>
      </c>
      <c r="AW6" s="289"/>
      <c r="AY6" s="370"/>
      <c r="BF6" s="329"/>
      <c r="BG6" s="329"/>
      <c r="BH6" s="329"/>
      <c r="BI6" s="329"/>
      <c r="BJ6" s="329"/>
      <c r="BK6" s="329"/>
      <c r="BL6" s="329"/>
      <c r="BM6" s="329"/>
      <c r="BN6" s="329"/>
      <c r="BO6" s="370"/>
      <c r="BP6" s="329"/>
      <c r="CE6" s="370"/>
      <c r="CJ6" s="31" t="s">
        <v>343</v>
      </c>
      <c r="CK6" s="40">
        <f>'(Cullen 2010 Mobile)'!T25</f>
        <v>1.4799999999999994E-2</v>
      </c>
      <c r="CT6" s="403"/>
    </row>
    <row r="7" spans="1:98">
      <c r="A7" s="222" t="s">
        <v>9</v>
      </c>
      <c r="B7" s="1286" t="s">
        <v>10</v>
      </c>
      <c r="C7" s="1287"/>
      <c r="D7" s="64">
        <f t="shared" ref="D7:I7" si="7">$J$7</f>
        <v>0.33989999999999998</v>
      </c>
      <c r="E7" s="63">
        <f t="shared" si="7"/>
        <v>0.33989999999999998</v>
      </c>
      <c r="F7" s="65">
        <f t="shared" si="7"/>
        <v>0.33989999999999998</v>
      </c>
      <c r="G7" s="64">
        <f t="shared" si="7"/>
        <v>0.33989999999999998</v>
      </c>
      <c r="H7" s="63">
        <f t="shared" si="7"/>
        <v>0.33989999999999998</v>
      </c>
      <c r="I7" s="65">
        <f t="shared" si="7"/>
        <v>0.33989999999999998</v>
      </c>
      <c r="J7" s="62">
        <v>0.33989999999999998</v>
      </c>
      <c r="K7" s="63">
        <f t="shared" ref="K7:R7" si="8">$J$7</f>
        <v>0.33989999999999998</v>
      </c>
      <c r="L7" s="65">
        <f t="shared" si="8"/>
        <v>0.33989999999999998</v>
      </c>
      <c r="M7" s="64">
        <f t="shared" si="8"/>
        <v>0.33989999999999998</v>
      </c>
      <c r="N7" s="63">
        <f t="shared" si="8"/>
        <v>0.33989999999999998</v>
      </c>
      <c r="O7" s="65">
        <f t="shared" si="8"/>
        <v>0.33989999999999998</v>
      </c>
      <c r="P7" s="64">
        <f t="shared" si="8"/>
        <v>0.33989999999999998</v>
      </c>
      <c r="Q7" s="63">
        <f t="shared" si="8"/>
        <v>0.33989999999999998</v>
      </c>
      <c r="R7" s="65">
        <f t="shared" si="8"/>
        <v>0.33989999999999998</v>
      </c>
      <c r="S7" s="931"/>
      <c r="U7" s="62">
        <v>0.33989999999999998</v>
      </c>
      <c r="V7" s="44">
        <f>$U$7</f>
        <v>0.33989999999999998</v>
      </c>
      <c r="W7" s="44">
        <f>$U$7</f>
        <v>0.33989999999999998</v>
      </c>
      <c r="X7" s="44">
        <f>$U$7</f>
        <v>0.33989999999999998</v>
      </c>
      <c r="Y7" s="45">
        <f>$U$7</f>
        <v>0.33989999999999998</v>
      </c>
      <c r="Z7" s="62" t="s">
        <v>10</v>
      </c>
      <c r="AA7" s="529"/>
      <c r="AB7" s="42">
        <v>0.33989999999999998</v>
      </c>
      <c r="AC7" s="44">
        <f>$AB$7</f>
        <v>0.33989999999999998</v>
      </c>
      <c r="AD7" s="44">
        <f>$AB$7</f>
        <v>0.33989999999999998</v>
      </c>
      <c r="AE7" s="44">
        <f>$AB$7</f>
        <v>0.33989999999999998</v>
      </c>
      <c r="AF7" s="45">
        <f>$AB$7</f>
        <v>0.33989999999999998</v>
      </c>
      <c r="AH7" s="443"/>
      <c r="AI7" s="64"/>
      <c r="AJ7" s="108"/>
      <c r="AK7" s="108"/>
      <c r="AL7" s="443"/>
      <c r="AM7" s="40"/>
      <c r="AN7" s="443"/>
      <c r="AO7" s="286"/>
      <c r="AP7" s="286"/>
      <c r="AQ7" s="299" t="s">
        <v>235</v>
      </c>
      <c r="AR7" s="309">
        <f>V28</f>
        <v>9.8924829571277073E-2</v>
      </c>
      <c r="AS7" s="322"/>
      <c r="AT7" s="322"/>
      <c r="AU7" s="322"/>
      <c r="AV7" s="314">
        <f>Y28</f>
        <v>0.10294103166186941</v>
      </c>
      <c r="AW7" s="290"/>
      <c r="BA7" s="207"/>
      <c r="BB7" s="399"/>
      <c r="BE7" s="207"/>
      <c r="BF7" s="207"/>
      <c r="BG7" s="207"/>
      <c r="BH7" s="207"/>
      <c r="BI7" s="207"/>
      <c r="BJ7" s="207"/>
      <c r="BK7" s="207"/>
      <c r="BL7" s="207"/>
      <c r="BM7" s="207"/>
      <c r="BN7" s="207"/>
      <c r="BP7" s="207"/>
    </row>
    <row r="8" spans="1:98" ht="13.2" customHeight="1">
      <c r="B8" s="1294" t="s">
        <v>433</v>
      </c>
      <c r="C8" s="1295"/>
      <c r="D8" s="834">
        <f>HLOOKUP(D2,$E$64:$Q$65,2,FALSE)</f>
        <v>8</v>
      </c>
      <c r="E8" s="835">
        <f t="shared" ref="E8:R8" si="9">HLOOKUP(E2,$E$64:$Q$65,2,FALSE)</f>
        <v>8</v>
      </c>
      <c r="F8" s="864">
        <f t="shared" si="9"/>
        <v>8</v>
      </c>
      <c r="G8" s="834">
        <f>HLOOKUP(G2,$E$64:$Q$65,2,FALSE)</f>
        <v>8</v>
      </c>
      <c r="H8" s="835">
        <f t="shared" si="9"/>
        <v>8</v>
      </c>
      <c r="I8" s="864">
        <f t="shared" si="9"/>
        <v>8</v>
      </c>
      <c r="J8" s="834">
        <f>HLOOKUP(J2,$E$64:$Q$65,2,FALSE)</f>
        <v>8</v>
      </c>
      <c r="K8" s="835">
        <f t="shared" si="9"/>
        <v>8</v>
      </c>
      <c r="L8" s="864">
        <f t="shared" si="9"/>
        <v>8</v>
      </c>
      <c r="M8" s="834">
        <f>HLOOKUP(M2,$E$64:$Q$65,2,FALSE)</f>
        <v>8</v>
      </c>
      <c r="N8" s="835">
        <f t="shared" si="9"/>
        <v>8</v>
      </c>
      <c r="O8" s="864">
        <f t="shared" si="9"/>
        <v>8</v>
      </c>
      <c r="P8" s="834">
        <f>HLOOKUP(P2,$E$64:$Q$65,2,FALSE)</f>
        <v>8</v>
      </c>
      <c r="Q8" s="835">
        <f t="shared" si="9"/>
        <v>8</v>
      </c>
      <c r="R8" s="864">
        <f t="shared" si="9"/>
        <v>8</v>
      </c>
      <c r="S8" s="933"/>
      <c r="U8" s="71"/>
      <c r="Z8" s="172"/>
      <c r="AA8" s="529"/>
      <c r="AB8" s="68"/>
      <c r="AF8" s="70"/>
      <c r="AH8" s="484"/>
      <c r="AI8" s="347"/>
      <c r="AJ8" s="440"/>
      <c r="AK8" s="440"/>
      <c r="AL8" s="441"/>
      <c r="AO8" s="284" t="s">
        <v>205</v>
      </c>
      <c r="AP8" s="284" t="s">
        <v>206</v>
      </c>
      <c r="AQ8" s="300">
        <v>41250</v>
      </c>
      <c r="AR8" s="310">
        <v>5.3999999999999999E-2</v>
      </c>
      <c r="AS8" s="323" t="s">
        <v>236</v>
      </c>
      <c r="AT8" s="323" t="s">
        <v>236</v>
      </c>
      <c r="AU8" s="323" t="s">
        <v>236</v>
      </c>
      <c r="AV8" s="315">
        <v>6.2899999999999998E-2</v>
      </c>
      <c r="AW8" s="291">
        <v>41107</v>
      </c>
      <c r="AY8" s="371"/>
      <c r="BB8" s="207"/>
      <c r="BO8" s="371"/>
      <c r="BP8" s="207"/>
    </row>
    <row r="9" spans="1:98" s="41" customFormat="1">
      <c r="A9" s="222"/>
      <c r="B9" s="1296"/>
      <c r="C9" s="1297"/>
      <c r="D9" s="1000" t="s">
        <v>3</v>
      </c>
      <c r="E9" s="1001"/>
      <c r="F9" s="1002"/>
      <c r="G9" s="1000" t="s">
        <v>137</v>
      </c>
      <c r="H9" s="1001"/>
      <c r="I9" s="1002"/>
      <c r="J9" s="1059" t="s">
        <v>168</v>
      </c>
      <c r="K9" s="1001"/>
      <c r="L9" s="1002"/>
      <c r="M9" s="1000" t="s">
        <v>2</v>
      </c>
      <c r="N9" s="1001"/>
      <c r="O9" s="1002"/>
      <c r="P9" s="1059" t="s">
        <v>76</v>
      </c>
      <c r="Q9" s="1001"/>
      <c r="R9" s="1002"/>
      <c r="S9" s="933"/>
      <c r="T9" s="73"/>
      <c r="U9" s="991" t="s">
        <v>3</v>
      </c>
      <c r="V9" s="1061" t="s">
        <v>168</v>
      </c>
      <c r="W9" s="1006" t="s">
        <v>1</v>
      </c>
      <c r="X9" s="1006" t="s">
        <v>2</v>
      </c>
      <c r="Y9" s="1061" t="s">
        <v>76</v>
      </c>
      <c r="Z9" s="74"/>
      <c r="AA9" s="222"/>
      <c r="AB9" s="255" t="s">
        <v>3</v>
      </c>
      <c r="AC9" s="256" t="s">
        <v>168</v>
      </c>
      <c r="AD9" s="255" t="s">
        <v>1</v>
      </c>
      <c r="AE9" s="255" t="s">
        <v>2</v>
      </c>
      <c r="AF9" s="256" t="s">
        <v>76</v>
      </c>
      <c r="AG9" s="73"/>
      <c r="AH9" s="484"/>
      <c r="AI9" s="991" t="s">
        <v>284</v>
      </c>
      <c r="AJ9" s="1127" t="s">
        <v>475</v>
      </c>
      <c r="AK9" s="1127" t="s">
        <v>476</v>
      </c>
      <c r="AL9" s="991" t="s">
        <v>463</v>
      </c>
      <c r="AM9" s="485"/>
      <c r="AN9" s="484"/>
      <c r="AO9" s="274" t="s">
        <v>207</v>
      </c>
      <c r="AP9" s="274" t="s">
        <v>208</v>
      </c>
      <c r="AQ9" s="300">
        <v>41256</v>
      </c>
      <c r="AR9" s="304">
        <v>0.1048</v>
      </c>
      <c r="AS9" s="323" t="s">
        <v>236</v>
      </c>
      <c r="AT9" s="324">
        <v>0.15140000000000001</v>
      </c>
      <c r="AU9" s="324" t="s">
        <v>244</v>
      </c>
      <c r="AV9" s="335" t="s">
        <v>245</v>
      </c>
      <c r="AW9" s="292"/>
      <c r="AY9" s="358"/>
      <c r="BO9" s="358"/>
      <c r="CE9" s="358"/>
      <c r="CM9" s="1304" t="s">
        <v>442</v>
      </c>
      <c r="CN9" s="1304"/>
      <c r="CO9" s="1304"/>
      <c r="CP9" s="1304"/>
      <c r="CQ9" s="1304"/>
      <c r="CR9" s="1304"/>
      <c r="CS9" s="1304"/>
      <c r="CT9" s="553"/>
    </row>
    <row r="10" spans="1:98" s="31" customFormat="1">
      <c r="A10" s="221" t="s">
        <v>178</v>
      </c>
      <c r="B10" s="992" t="s">
        <v>307</v>
      </c>
      <c r="C10" s="913" t="s">
        <v>176</v>
      </c>
      <c r="D10" s="483"/>
      <c r="E10" s="917" t="s">
        <v>135</v>
      </c>
      <c r="F10" s="918" t="s">
        <v>136</v>
      </c>
      <c r="G10" s="914"/>
      <c r="H10" s="917" t="s">
        <v>135</v>
      </c>
      <c r="I10" s="918" t="s">
        <v>136</v>
      </c>
      <c r="J10" s="914"/>
      <c r="K10" s="917" t="s">
        <v>135</v>
      </c>
      <c r="L10" s="918" t="s">
        <v>136</v>
      </c>
      <c r="M10" s="914"/>
      <c r="N10" s="917" t="s">
        <v>135</v>
      </c>
      <c r="O10" s="918" t="s">
        <v>136</v>
      </c>
      <c r="P10" s="914"/>
      <c r="Q10" s="917" t="s">
        <v>135</v>
      </c>
      <c r="R10" s="918" t="s">
        <v>136</v>
      </c>
      <c r="S10" s="929">
        <f>IF(C10="Yes",1,0)</f>
        <v>1</v>
      </c>
      <c r="T10" s="828"/>
      <c r="U10" s="459"/>
      <c r="V10" s="132"/>
      <c r="W10" s="460"/>
      <c r="X10" s="460"/>
      <c r="Y10" s="132"/>
      <c r="Z10" s="484" t="s">
        <v>285</v>
      </c>
      <c r="AA10" s="221"/>
      <c r="AB10" s="459"/>
      <c r="AC10" s="132"/>
      <c r="AD10" s="460"/>
      <c r="AE10" s="460"/>
      <c r="AF10" s="1064"/>
      <c r="AG10" s="49"/>
      <c r="AH10" s="484"/>
      <c r="AI10" s="1305" t="str">
        <f>IF($C$10="yes", "OL","")</f>
        <v>OL</v>
      </c>
      <c r="AJ10" s="1306"/>
      <c r="AK10" s="1306"/>
      <c r="AL10" s="1307"/>
      <c r="AM10" s="540"/>
      <c r="AN10" s="468"/>
      <c r="AO10" s="273" t="s">
        <v>209</v>
      </c>
      <c r="AP10" s="273" t="s">
        <v>210</v>
      </c>
      <c r="AQ10" s="296">
        <v>41396</v>
      </c>
      <c r="AR10" s="305" t="s">
        <v>239</v>
      </c>
      <c r="AS10" s="317" t="s">
        <v>237</v>
      </c>
      <c r="AT10" s="317" t="s">
        <v>243</v>
      </c>
      <c r="AU10" s="318" t="s">
        <v>199</v>
      </c>
      <c r="AV10" s="311" t="s">
        <v>234</v>
      </c>
      <c r="AW10" s="293"/>
      <c r="AY10" s="368"/>
      <c r="BO10" s="368"/>
      <c r="BP10" s="329"/>
      <c r="CE10" s="368"/>
      <c r="CM10" s="1304"/>
      <c r="CN10" s="1304"/>
      <c r="CO10" s="1304"/>
      <c r="CP10" s="1304"/>
      <c r="CQ10" s="1304"/>
      <c r="CR10" s="1304"/>
      <c r="CS10" s="1304"/>
      <c r="CT10" s="386"/>
    </row>
    <row r="11" spans="1:98">
      <c r="A11" s="222" t="s">
        <v>427</v>
      </c>
      <c r="B11" s="1286" t="s">
        <v>273</v>
      </c>
      <c r="C11" s="1287"/>
      <c r="D11" s="76">
        <f t="shared" ref="D11:R11" si="10">$S$10*D82+(1-$S$10)*D83</f>
        <v>0.4</v>
      </c>
      <c r="E11" s="919">
        <f t="shared" si="10"/>
        <v>0.2</v>
      </c>
      <c r="F11" s="919">
        <f t="shared" si="10"/>
        <v>0.5</v>
      </c>
      <c r="G11" s="76">
        <f t="shared" si="10"/>
        <v>0.44444444444444442</v>
      </c>
      <c r="H11" s="919">
        <f t="shared" si="10"/>
        <v>0.3888888888888889</v>
      </c>
      <c r="I11" s="919">
        <f t="shared" si="10"/>
        <v>0.5</v>
      </c>
      <c r="J11" s="58">
        <f t="shared" si="10"/>
        <v>0.4729330941660323</v>
      </c>
      <c r="K11" s="919">
        <f t="shared" si="10"/>
        <v>0.42293309416603231</v>
      </c>
      <c r="L11" s="919">
        <f t="shared" si="10"/>
        <v>0.52293309416603229</v>
      </c>
      <c r="M11" s="76">
        <f t="shared" si="10"/>
        <v>0.28041293785321875</v>
      </c>
      <c r="N11" s="919">
        <f t="shared" si="10"/>
        <v>0.2</v>
      </c>
      <c r="O11" s="919">
        <f t="shared" si="10"/>
        <v>0.4561905930983241</v>
      </c>
      <c r="P11" s="58">
        <f t="shared" si="10"/>
        <v>0.27500000000000002</v>
      </c>
      <c r="Q11" s="919">
        <f t="shared" si="10"/>
        <v>0.25</v>
      </c>
      <c r="R11" s="919">
        <f t="shared" si="10"/>
        <v>0.3</v>
      </c>
      <c r="S11" s="933"/>
      <c r="T11" s="73"/>
      <c r="U11" s="78">
        <v>0.32</v>
      </c>
      <c r="V11" s="77">
        <v>0.4</v>
      </c>
      <c r="W11" s="78">
        <v>0.25</v>
      </c>
      <c r="X11" s="78">
        <v>0.25</v>
      </c>
      <c r="Y11" s="77">
        <v>0.25</v>
      </c>
      <c r="Z11" s="382" t="s">
        <v>172</v>
      </c>
      <c r="AA11" s="529"/>
      <c r="AB11" s="78">
        <v>0.35</v>
      </c>
      <c r="AC11" s="78">
        <v>0.45</v>
      </c>
      <c r="AD11" s="78">
        <v>0.25</v>
      </c>
      <c r="AE11" s="78">
        <v>0.25</v>
      </c>
      <c r="AF11" s="78">
        <v>0.25</v>
      </c>
      <c r="AG11" s="73"/>
      <c r="AH11" s="387"/>
      <c r="AI11" s="943">
        <f>D11-U11</f>
        <v>8.0000000000000016E-2</v>
      </c>
      <c r="AJ11" s="970">
        <f>J11-V11</f>
        <v>7.2933094166032275E-2</v>
      </c>
      <c r="AK11" s="970">
        <f>P11-Y11</f>
        <v>2.5000000000000022E-2</v>
      </c>
      <c r="AL11" s="387">
        <f>M11-X11</f>
        <v>3.0412937853218747E-2</v>
      </c>
      <c r="AM11" s="79"/>
      <c r="AN11" s="387"/>
      <c r="AO11" s="273" t="s">
        <v>211</v>
      </c>
      <c r="AP11" s="273" t="s">
        <v>212</v>
      </c>
      <c r="AQ11" s="296">
        <v>41303</v>
      </c>
      <c r="AR11" s="304">
        <v>9.5000000000000001E-2</v>
      </c>
      <c r="AS11" s="323" t="s">
        <v>236</v>
      </c>
      <c r="AT11" s="318" t="s">
        <v>199</v>
      </c>
      <c r="AU11" s="324" t="s">
        <v>244</v>
      </c>
      <c r="AV11" s="311">
        <v>0.104</v>
      </c>
      <c r="AW11" s="290"/>
      <c r="BP11" s="207"/>
      <c r="CM11" s="1304"/>
      <c r="CN11" s="1304"/>
      <c r="CO11" s="1304"/>
      <c r="CP11" s="1304"/>
      <c r="CQ11" s="1304"/>
      <c r="CR11" s="1304"/>
      <c r="CS11" s="1304"/>
    </row>
    <row r="12" spans="1:98" s="52" customFormat="1">
      <c r="A12" s="221"/>
      <c r="B12" s="1298" t="s">
        <v>275</v>
      </c>
      <c r="C12" s="1299"/>
      <c r="D12" s="980">
        <f>D11/(1-D11)</f>
        <v>0.66666666666666674</v>
      </c>
      <c r="E12" s="981">
        <f t="shared" ref="E12:F12" si="11">E11/(1-E11)</f>
        <v>0.25</v>
      </c>
      <c r="F12" s="982">
        <f t="shared" si="11"/>
        <v>1</v>
      </c>
      <c r="G12" s="980">
        <f>G11/(1-G11)</f>
        <v>0.79999999999999993</v>
      </c>
      <c r="H12" s="981">
        <f t="shared" ref="H12:I12" si="12">H11/(1-H11)</f>
        <v>0.63636363636363635</v>
      </c>
      <c r="I12" s="982">
        <f t="shared" si="12"/>
        <v>1</v>
      </c>
      <c r="J12" s="980">
        <f>J11/(1-J11)</f>
        <v>0.89729233410646325</v>
      </c>
      <c r="K12" s="981">
        <f t="shared" ref="K12:L12" si="13">K11/(1-K11)</f>
        <v>0.73290131506470002</v>
      </c>
      <c r="L12" s="982">
        <f t="shared" si="13"/>
        <v>1.0961420458455093</v>
      </c>
      <c r="M12" s="980">
        <f>M11/(1-M11)</f>
        <v>0.38968590821609317</v>
      </c>
      <c r="N12" s="981">
        <f t="shared" ref="N12:O12" si="14">N11/(1-N11)</f>
        <v>0.25</v>
      </c>
      <c r="O12" s="982">
        <f t="shared" si="14"/>
        <v>0.83887955469075981</v>
      </c>
      <c r="P12" s="980">
        <f>P11/(1-P11)</f>
        <v>0.37931034482758624</v>
      </c>
      <c r="Q12" s="981">
        <f t="shared" ref="Q12:R12" si="15">Q11/(1-Q11)</f>
        <v>0.33333333333333331</v>
      </c>
      <c r="R12" s="982">
        <f t="shared" si="15"/>
        <v>0.4285714285714286</v>
      </c>
      <c r="S12" s="934"/>
      <c r="T12" s="893"/>
      <c r="U12" s="461">
        <f>U11/(1-U11)</f>
        <v>0.4705882352941177</v>
      </c>
      <c r="V12" s="462">
        <f>V11/(1-V11)</f>
        <v>0.66666666666666674</v>
      </c>
      <c r="W12" s="462">
        <f>W11/(1-W11)</f>
        <v>0.33333333333333331</v>
      </c>
      <c r="X12" s="462">
        <f>X11/(1-X11)</f>
        <v>0.33333333333333331</v>
      </c>
      <c r="Y12" s="462">
        <f>Y11/(1-Y11)</f>
        <v>0.33333333333333331</v>
      </c>
      <c r="Z12" s="463" t="s">
        <v>449</v>
      </c>
      <c r="AA12" s="230"/>
      <c r="AB12" s="461">
        <f>AB11/(1-AB11)</f>
        <v>0.53846153846153844</v>
      </c>
      <c r="AC12" s="462">
        <f>AC11/(1-AC11)</f>
        <v>0.81818181818181812</v>
      </c>
      <c r="AD12" s="462">
        <f>AD11/(1-AD11)</f>
        <v>0.33333333333333331</v>
      </c>
      <c r="AE12" s="462">
        <f>AE11/(1-AE11)</f>
        <v>0.33333333333333331</v>
      </c>
      <c r="AF12" s="463">
        <f>AF11/(1-AF11)</f>
        <v>0.33333333333333331</v>
      </c>
      <c r="AG12" s="49"/>
      <c r="AH12" s="387"/>
      <c r="AI12" s="348"/>
      <c r="AJ12" s="79"/>
      <c r="AK12" s="79"/>
      <c r="AL12" s="387"/>
      <c r="AM12" s="79"/>
      <c r="AN12" s="387"/>
      <c r="AO12" s="273" t="s">
        <v>213</v>
      </c>
      <c r="AP12" s="273" t="s">
        <v>214</v>
      </c>
      <c r="AQ12" s="296">
        <v>38810</v>
      </c>
      <c r="AR12" s="304">
        <v>0.104</v>
      </c>
      <c r="AS12" s="319" t="s">
        <v>199</v>
      </c>
      <c r="AT12" s="318" t="s">
        <v>199</v>
      </c>
      <c r="AU12" s="318" t="s">
        <v>199</v>
      </c>
      <c r="AV12" s="311">
        <v>0.1429</v>
      </c>
      <c r="AW12" s="296">
        <v>41255</v>
      </c>
      <c r="AY12" s="372"/>
      <c r="BO12" s="372"/>
      <c r="BP12" s="329"/>
      <c r="CE12" s="372"/>
      <c r="CM12" s="1304"/>
      <c r="CN12" s="1304"/>
      <c r="CO12" s="1304"/>
      <c r="CP12" s="1304"/>
      <c r="CQ12" s="1304"/>
      <c r="CR12" s="1304"/>
      <c r="CS12" s="1304"/>
      <c r="CT12" s="365"/>
    </row>
    <row r="13" spans="1:98" s="52" customFormat="1">
      <c r="A13" s="221"/>
      <c r="B13" s="66"/>
      <c r="C13" s="440"/>
      <c r="D13" s="80"/>
      <c r="E13" s="33" t="s">
        <v>169</v>
      </c>
      <c r="F13" s="920" t="s">
        <v>170</v>
      </c>
      <c r="G13" s="80"/>
      <c r="H13" s="33" t="s">
        <v>169</v>
      </c>
      <c r="I13" s="920" t="s">
        <v>170</v>
      </c>
      <c r="J13" s="80"/>
      <c r="K13" s="33" t="s">
        <v>169</v>
      </c>
      <c r="L13" s="920" t="s">
        <v>170</v>
      </c>
      <c r="M13" s="80"/>
      <c r="N13" s="33" t="s">
        <v>169</v>
      </c>
      <c r="O13" s="920" t="s">
        <v>170</v>
      </c>
      <c r="P13" s="80"/>
      <c r="Q13" s="33" t="s">
        <v>169</v>
      </c>
      <c r="R13" s="920" t="s">
        <v>170</v>
      </c>
      <c r="S13" s="934"/>
      <c r="T13" s="49"/>
      <c r="U13" s="943"/>
      <c r="V13" s="79"/>
      <c r="W13" s="79"/>
      <c r="X13" s="79"/>
      <c r="Y13" s="79"/>
      <c r="Z13" s="387"/>
      <c r="AA13" s="230"/>
      <c r="AB13" s="943"/>
      <c r="AC13" s="79"/>
      <c r="AD13" s="79"/>
      <c r="AE13" s="79"/>
      <c r="AF13" s="387"/>
      <c r="AG13" s="49"/>
      <c r="AH13" s="387"/>
      <c r="AI13" s="348"/>
      <c r="AJ13" s="79"/>
      <c r="AK13" s="79"/>
      <c r="AL13" s="387"/>
      <c r="AM13" s="79"/>
      <c r="AN13" s="387"/>
      <c r="AO13" s="273" t="s">
        <v>215</v>
      </c>
      <c r="AP13" s="273" t="s">
        <v>216</v>
      </c>
      <c r="AQ13" s="296">
        <v>39590</v>
      </c>
      <c r="AR13" s="305">
        <v>0.1021</v>
      </c>
      <c r="AS13" s="325" t="s">
        <v>236</v>
      </c>
      <c r="AT13" s="318" t="s">
        <v>199</v>
      </c>
      <c r="AU13" s="318" t="s">
        <v>199</v>
      </c>
      <c r="AV13" s="316" t="s">
        <v>240</v>
      </c>
      <c r="AW13" s="292"/>
      <c r="AY13" s="372"/>
      <c r="BO13" s="372"/>
      <c r="BP13" s="329"/>
      <c r="CE13" s="372"/>
      <c r="CM13" s="1303" t="s">
        <v>351</v>
      </c>
      <c r="CN13" s="1303"/>
      <c r="CO13" s="1303"/>
      <c r="CP13" s="1303"/>
      <c r="CQ13" s="1303"/>
      <c r="CR13" s="1303"/>
      <c r="CS13" s="1303"/>
      <c r="CT13" s="365"/>
    </row>
    <row r="14" spans="1:98" s="75" customFormat="1">
      <c r="A14" s="222" t="s">
        <v>138</v>
      </c>
      <c r="B14" s="1286" t="s">
        <v>167</v>
      </c>
      <c r="C14" s="1287"/>
      <c r="D14" s="76" t="s">
        <v>143</v>
      </c>
      <c r="E14" s="919" t="str">
        <f t="shared" ref="E14:I14" si="16">IF($S$10&gt;50%,E84,E85)</f>
        <v>A</v>
      </c>
      <c r="F14" s="919" t="str">
        <f t="shared" si="16"/>
        <v>BBB+</v>
      </c>
      <c r="G14" s="76" t="str">
        <f t="shared" si="16"/>
        <v>B+</v>
      </c>
      <c r="H14" s="919" t="str">
        <f t="shared" si="16"/>
        <v>BB-</v>
      </c>
      <c r="I14" s="919" t="str">
        <f t="shared" si="16"/>
        <v>B+</v>
      </c>
      <c r="J14" s="77" t="s">
        <v>140</v>
      </c>
      <c r="K14" s="919" t="str">
        <f>IF($S$10&gt;50%,K84,K85)</f>
        <v>BBB+</v>
      </c>
      <c r="L14" s="919" t="str">
        <f>IF($S$10&gt;50%,L84,L85)</f>
        <v>BBB-</v>
      </c>
      <c r="M14" s="76" t="s">
        <v>140</v>
      </c>
      <c r="N14" s="919" t="str">
        <f>IF($S$10&gt;50%,N84,N85)</f>
        <v>BBB+</v>
      </c>
      <c r="O14" s="919" t="str">
        <f>IF($S$10&gt;50%,O84,O85)</f>
        <v>BBB-</v>
      </c>
      <c r="P14" s="77" t="s">
        <v>140</v>
      </c>
      <c r="Q14" s="919" t="str">
        <f>IF($S$10&gt;50%,Q84,Q85)</f>
        <v>BBB+</v>
      </c>
      <c r="R14" s="919" t="str">
        <f>IF($S$10&gt;50%,R84,R85)</f>
        <v>BBB-</v>
      </c>
      <c r="S14" s="933"/>
      <c r="T14" s="49"/>
      <c r="U14" s="944" t="s">
        <v>139</v>
      </c>
      <c r="V14" s="945" t="s">
        <v>142</v>
      </c>
      <c r="W14" s="945" t="s">
        <v>139</v>
      </c>
      <c r="X14" s="945" t="s">
        <v>143</v>
      </c>
      <c r="Y14" s="945" t="s">
        <v>143</v>
      </c>
      <c r="Z14" s="946" t="s">
        <v>278</v>
      </c>
      <c r="AA14" s="224"/>
      <c r="AB14" s="1065"/>
      <c r="AC14" s="1044"/>
      <c r="AD14" s="945"/>
      <c r="AE14" s="945"/>
      <c r="AF14" s="1066"/>
      <c r="AG14" s="49"/>
      <c r="AH14" s="484"/>
      <c r="AI14" s="978" t="str">
        <f>CONCATENATE(D18-U18," notch")</f>
        <v>1 notch</v>
      </c>
      <c r="AJ14" s="965" t="str">
        <f>CONCATENATE(J18-V18," notch")</f>
        <v>1 notch</v>
      </c>
      <c r="AK14" s="965" t="str">
        <f>CONCATENATE(P18-Y18," notch")</f>
        <v>2 notch</v>
      </c>
      <c r="AL14" s="979" t="str">
        <f>CONCATENATE(M18-X18," notch")</f>
        <v>2 notch</v>
      </c>
      <c r="AM14" s="202"/>
      <c r="AN14" s="484"/>
      <c r="AO14" s="273" t="s">
        <v>217</v>
      </c>
      <c r="AP14" s="273" t="s">
        <v>218</v>
      </c>
      <c r="AQ14" s="296">
        <v>41369</v>
      </c>
      <c r="AR14" s="305">
        <v>0.104</v>
      </c>
      <c r="AS14" s="325" t="s">
        <v>236</v>
      </c>
      <c r="AT14" s="317" t="s">
        <v>263</v>
      </c>
      <c r="AU14" s="325" t="s">
        <v>236</v>
      </c>
      <c r="AV14" s="316">
        <v>0.104</v>
      </c>
      <c r="AW14" s="296">
        <v>40864</v>
      </c>
      <c r="AY14" s="373"/>
      <c r="BO14" s="373"/>
      <c r="BP14" s="329"/>
      <c r="CE14" s="373"/>
      <c r="CM14" s="1303"/>
      <c r="CN14" s="1303"/>
      <c r="CO14" s="1303"/>
      <c r="CP14" s="1303"/>
      <c r="CQ14" s="1303"/>
      <c r="CR14" s="1303"/>
      <c r="CS14" s="1303"/>
      <c r="CT14" s="288"/>
    </row>
    <row r="15" spans="1:98">
      <c r="A15" s="225" t="s">
        <v>14</v>
      </c>
      <c r="B15" s="1288" t="s">
        <v>444</v>
      </c>
      <c r="C15" s="1289"/>
      <c r="D15" s="50">
        <f>D17-D16-D3</f>
        <v>1.2381910828025474E-2</v>
      </c>
      <c r="E15" s="57">
        <f>E17-E16-E3</f>
        <v>1.0628369426751581E-2</v>
      </c>
      <c r="F15" s="130">
        <f t="shared" ref="F15:R15" si="17">F17-F16-F3</f>
        <v>1.8894970605862815E-2</v>
      </c>
      <c r="G15" s="50">
        <f t="shared" si="17"/>
        <v>6.5122033885350317E-2</v>
      </c>
      <c r="H15" s="57">
        <f t="shared" si="17"/>
        <v>5.2040844585987248E-2</v>
      </c>
      <c r="I15" s="130">
        <f t="shared" si="17"/>
        <v>6.9881552261913754E-2</v>
      </c>
      <c r="J15" s="50">
        <f t="shared" si="17"/>
        <v>1.664773248407642E-2</v>
      </c>
      <c r="K15" s="57">
        <f t="shared" si="17"/>
        <v>1.4135452229299374E-2</v>
      </c>
      <c r="L15" s="130">
        <f t="shared" si="17"/>
        <v>2.7731053408410561E-2</v>
      </c>
      <c r="M15" s="50">
        <f t="shared" si="17"/>
        <v>1.664773248407642E-2</v>
      </c>
      <c r="N15" s="57">
        <f t="shared" si="17"/>
        <v>1.4135452229299374E-2</v>
      </c>
      <c r="O15" s="130">
        <f t="shared" si="17"/>
        <v>2.7731053408410561E-2</v>
      </c>
      <c r="P15" s="50">
        <f t="shared" si="17"/>
        <v>1.664773248407642E-2</v>
      </c>
      <c r="Q15" s="57">
        <f t="shared" si="17"/>
        <v>1.4135452229299374E-2</v>
      </c>
      <c r="R15" s="130">
        <f t="shared" si="17"/>
        <v>2.7731053408410561E-2</v>
      </c>
      <c r="S15" s="933"/>
      <c r="T15" s="73"/>
      <c r="U15" s="81">
        <v>1.2999999999999999E-2</v>
      </c>
      <c r="V15" s="58">
        <v>1.4999999999999999E-2</v>
      </c>
      <c r="W15" s="81">
        <v>1.2999999999999999E-2</v>
      </c>
      <c r="X15" s="81">
        <v>1.2999999999999999E-2</v>
      </c>
      <c r="Y15" s="58">
        <v>1.2999999999999999E-2</v>
      </c>
      <c r="Z15" s="383" t="s">
        <v>444</v>
      </c>
      <c r="AA15" s="529"/>
      <c r="AB15" s="81">
        <v>1.7999999999999999E-2</v>
      </c>
      <c r="AC15" s="81">
        <v>1.7999999999999999E-2</v>
      </c>
      <c r="AD15" s="81">
        <v>1.7999999999999999E-2</v>
      </c>
      <c r="AE15" s="81">
        <v>1.7999999999999999E-2</v>
      </c>
      <c r="AF15" s="81">
        <v>1.7999999999999999E-2</v>
      </c>
      <c r="AG15" s="73"/>
      <c r="AH15" s="484"/>
      <c r="AI15" s="32">
        <f>D15-U15</f>
        <v>-6.1808917197452538E-4</v>
      </c>
      <c r="AJ15" s="966">
        <f>J15-V15</f>
        <v>1.6477324840764203E-3</v>
      </c>
      <c r="AK15" s="966">
        <f>P15-Y15</f>
        <v>3.6477324840764203E-3</v>
      </c>
      <c r="AL15" s="443">
        <f>M15-X15</f>
        <v>3.6477324840764203E-3</v>
      </c>
      <c r="AM15" s="40"/>
      <c r="AN15" s="443"/>
      <c r="AO15" s="273" t="s">
        <v>219</v>
      </c>
      <c r="AP15" s="273" t="s">
        <v>231</v>
      </c>
      <c r="AQ15" s="296">
        <v>40453</v>
      </c>
      <c r="AR15" s="305">
        <v>0.10199999999999999</v>
      </c>
      <c r="AS15" s="323" t="s">
        <v>236</v>
      </c>
      <c r="AT15" s="318" t="s">
        <v>199</v>
      </c>
      <c r="AU15" s="324" t="s">
        <v>244</v>
      </c>
      <c r="AV15" s="336">
        <v>0.11799999999999999</v>
      </c>
      <c r="AW15" s="301">
        <v>41326</v>
      </c>
      <c r="BP15" s="207"/>
    </row>
    <row r="16" spans="1:98" s="31" customFormat="1">
      <c r="A16" s="74" t="s">
        <v>144</v>
      </c>
      <c r="B16" s="1286" t="s">
        <v>145</v>
      </c>
      <c r="C16" s="1287"/>
      <c r="D16" s="62">
        <f>$J$16</f>
        <v>1.5E-3</v>
      </c>
      <c r="E16" s="257">
        <f>D16</f>
        <v>1.5E-3</v>
      </c>
      <c r="F16" s="257">
        <f>D16</f>
        <v>1.5E-3</v>
      </c>
      <c r="G16" s="62">
        <f>$J$16</f>
        <v>1.5E-3</v>
      </c>
      <c r="H16" s="257">
        <f>G16</f>
        <v>1.5E-3</v>
      </c>
      <c r="I16" s="257">
        <f>G16</f>
        <v>1.5E-3</v>
      </c>
      <c r="J16" s="201">
        <f>$D$77/100</f>
        <v>1.5E-3</v>
      </c>
      <c r="K16" s="257">
        <f>J16</f>
        <v>1.5E-3</v>
      </c>
      <c r="L16" s="257">
        <f>J16</f>
        <v>1.5E-3</v>
      </c>
      <c r="M16" s="62">
        <f>$J$16</f>
        <v>1.5E-3</v>
      </c>
      <c r="N16" s="257">
        <f>M16</f>
        <v>1.5E-3</v>
      </c>
      <c r="O16" s="257">
        <f>M16</f>
        <v>1.5E-3</v>
      </c>
      <c r="P16" s="201">
        <f>$D$77/100</f>
        <v>1.5E-3</v>
      </c>
      <c r="Q16" s="257">
        <f>P16</f>
        <v>1.5E-3</v>
      </c>
      <c r="R16" s="257">
        <f>P16</f>
        <v>1.5E-3</v>
      </c>
      <c r="S16" s="931"/>
      <c r="T16" s="49"/>
      <c r="U16" s="464">
        <v>2E-3</v>
      </c>
      <c r="V16" s="464">
        <v>2E-3</v>
      </c>
      <c r="W16" s="464">
        <v>2E-3</v>
      </c>
      <c r="X16" s="464">
        <v>2E-3</v>
      </c>
      <c r="Y16" s="464">
        <v>2E-3</v>
      </c>
      <c r="Z16" s="62" t="s">
        <v>145</v>
      </c>
      <c r="AA16" s="221"/>
      <c r="AB16" s="1067"/>
      <c r="AC16" s="487"/>
      <c r="AD16" s="487"/>
      <c r="AE16" s="487"/>
      <c r="AF16" s="1068"/>
      <c r="AG16" s="49"/>
      <c r="AH16" s="443"/>
      <c r="AI16" s="32">
        <f>D16-U16</f>
        <v>-5.0000000000000001E-4</v>
      </c>
      <c r="AJ16" s="966">
        <f>J16-U16</f>
        <v>-5.0000000000000001E-4</v>
      </c>
      <c r="AK16" s="966">
        <f>P16-Y16</f>
        <v>-5.0000000000000001E-4</v>
      </c>
      <c r="AL16" s="443">
        <f>M16-X16</f>
        <v>-5.0000000000000001E-4</v>
      </c>
      <c r="AM16" s="40"/>
      <c r="AN16" s="443"/>
      <c r="AO16" s="275" t="s">
        <v>220</v>
      </c>
      <c r="AP16" s="273" t="s">
        <v>232</v>
      </c>
      <c r="AQ16" s="296">
        <v>40983</v>
      </c>
      <c r="AR16" s="305">
        <v>6.2E-2</v>
      </c>
      <c r="AS16" s="325" t="s">
        <v>236</v>
      </c>
      <c r="AT16" s="318" t="s">
        <v>199</v>
      </c>
      <c r="AU16" s="318" t="s">
        <v>199</v>
      </c>
      <c r="AV16" s="316">
        <v>6.7000000000000004E-2</v>
      </c>
      <c r="AW16" s="294"/>
      <c r="AY16" s="368"/>
      <c r="BO16" s="368"/>
      <c r="BP16" s="329"/>
      <c r="CE16" s="368"/>
      <c r="CT16" s="386"/>
    </row>
    <row r="17" spans="1:98" s="84" customFormat="1">
      <c r="A17" s="226" t="s">
        <v>16</v>
      </c>
      <c r="B17" s="1286" t="s">
        <v>445</v>
      </c>
      <c r="C17" s="1287"/>
      <c r="D17" s="162">
        <f>INDEX($E$66:$Q$76,D18,D8)/100+D16</f>
        <v>4.0185066147264081E-2</v>
      </c>
      <c r="E17" s="257">
        <f>INDEX($E$66:$Q$76,E18,E8)/100+E16+(E3-D3)</f>
        <v>3.367200636942675E-2</v>
      </c>
      <c r="F17" s="257">
        <f>INDEX($E$66:$Q$76,F18,F8)/100+F16+(F3-E3)</f>
        <v>5.5186173140364503E-2</v>
      </c>
      <c r="G17" s="162">
        <f>INDEX($E$66:$Q$76,G18,G8)/100+G16</f>
        <v>9.2925189204588921E-2</v>
      </c>
      <c r="H17" s="257">
        <f>INDEX($E$66:$Q$76,H18,H8)/100+H16+(H3-G3)</f>
        <v>7.5084481528662414E-2</v>
      </c>
      <c r="I17" s="257">
        <f>INDEX($E$66:$Q$76,I18,I8)/100+I16+(I3-H3)</f>
        <v>0.10617275479641544</v>
      </c>
      <c r="J17" s="59">
        <f>INDEX($E$66:$Q$76,J18,J8)/100+J16</f>
        <v>4.4450887803315027E-2</v>
      </c>
      <c r="K17" s="257">
        <f>INDEX($E$66:$Q$76,K18,K8)/100+K16+(K3-J3)</f>
        <v>3.7179089171974544E-2</v>
      </c>
      <c r="L17" s="257">
        <f>INDEX($E$66:$Q$76,L18,L8)/100+L16+(L3-K3)</f>
        <v>6.4022255942912248E-2</v>
      </c>
      <c r="M17" s="162">
        <f>INDEX($E$66:$Q$76,M18,M8)/100+M16</f>
        <v>4.4450887803315027E-2</v>
      </c>
      <c r="N17" s="257">
        <f>INDEX($E$66:$Q$76,N18,N8)/100+N16+(N3-M3)</f>
        <v>3.7179089171974544E-2</v>
      </c>
      <c r="O17" s="257">
        <f>INDEX($E$66:$Q$76,O18,O8)/100+O16+(O3-N3)</f>
        <v>6.4022255942912248E-2</v>
      </c>
      <c r="P17" s="59">
        <f>INDEX($E$66:$Q$76,P18,P8)/100+P16</f>
        <v>4.4450887803315027E-2</v>
      </c>
      <c r="Q17" s="257">
        <f>INDEX($E$66:$Q$76,Q18,Q8)/100+Q16+(Q3-P3)</f>
        <v>3.7179089171974544E-2</v>
      </c>
      <c r="R17" s="257">
        <f>INDEX($E$66:$Q$76,R18,R8)/100+R16+(R3-Q3)</f>
        <v>6.4022255942912248E-2</v>
      </c>
      <c r="S17" s="932"/>
      <c r="T17" s="73"/>
      <c r="U17" s="948">
        <f>U3+U15+U16</f>
        <v>5.5E-2</v>
      </c>
      <c r="V17" s="949">
        <f>V3+V15+V16</f>
        <v>5.7000000000000002E-2</v>
      </c>
      <c r="W17" s="949">
        <f>W3+W15+W16</f>
        <v>5.5E-2</v>
      </c>
      <c r="X17" s="949">
        <f>X3+X15+X16</f>
        <v>5.5E-2</v>
      </c>
      <c r="Y17" s="949">
        <f>Y3+Y15+Y16</f>
        <v>5.5E-2</v>
      </c>
      <c r="Z17" s="947" t="s">
        <v>279</v>
      </c>
      <c r="AA17" s="530"/>
      <c r="AB17" s="953">
        <f>AB3+AB15</f>
        <v>5.6999999999999995E-2</v>
      </c>
      <c r="AC17" s="955">
        <f>AC3+AC15</f>
        <v>5.6999999999999995E-2</v>
      </c>
      <c r="AD17" s="955">
        <f>AD3+AD15</f>
        <v>5.6999999999999995E-2</v>
      </c>
      <c r="AE17" s="955">
        <f>AE3+AE15</f>
        <v>5.6999999999999995E-2</v>
      </c>
      <c r="AF17" s="1069">
        <f>AF3+AF15</f>
        <v>5.6999999999999995E-2</v>
      </c>
      <c r="AG17" s="73"/>
      <c r="AH17" s="535"/>
      <c r="AI17" s="50">
        <f>D17-U17</f>
        <v>-1.4814933852735919E-2</v>
      </c>
      <c r="AJ17" s="82">
        <f>J17-V17</f>
        <v>-1.2549112196684975E-2</v>
      </c>
      <c r="AK17" s="82">
        <f>P17-Y17</f>
        <v>-1.0549112196684973E-2</v>
      </c>
      <c r="AL17" s="83">
        <f>M17-X17</f>
        <v>-1.0549112196684973E-2</v>
      </c>
      <c r="AM17" s="82"/>
      <c r="AN17" s="83"/>
      <c r="AO17" s="284"/>
      <c r="AP17" s="303" t="s">
        <v>221</v>
      </c>
      <c r="AQ17" s="302">
        <v>41099</v>
      </c>
      <c r="AR17" s="306">
        <f>(1+5.1%)*(1+1.8%)-1</f>
        <v>6.9917999999999925E-2</v>
      </c>
      <c r="AS17" s="326" t="s">
        <v>236</v>
      </c>
      <c r="AT17" s="326" t="s">
        <v>236</v>
      </c>
      <c r="AU17" s="326" t="s">
        <v>236</v>
      </c>
      <c r="AV17" s="316"/>
      <c r="AW17" s="294"/>
      <c r="AY17" s="374"/>
      <c r="BO17" s="374"/>
      <c r="BP17" s="207"/>
      <c r="CE17" s="374"/>
      <c r="CT17" s="404"/>
    </row>
    <row r="18" spans="1:98" s="75" customFormat="1">
      <c r="A18" s="224"/>
      <c r="B18" s="1290" t="s">
        <v>431</v>
      </c>
      <c r="C18" s="1291"/>
      <c r="D18" s="940">
        <f>VLOOKUP(D14,$C$66:$D$76,2,FALSE)</f>
        <v>2</v>
      </c>
      <c r="E18" s="941">
        <f t="shared" ref="E18:R18" si="18">VLOOKUP(E14,$C$66:$D$76,2,FALSE)</f>
        <v>1</v>
      </c>
      <c r="F18" s="942">
        <f t="shared" si="18"/>
        <v>3</v>
      </c>
      <c r="G18" s="940">
        <f>VLOOKUP(G14,$C$66:$D$76,2,FALSE)</f>
        <v>9</v>
      </c>
      <c r="H18" s="941">
        <f t="shared" si="18"/>
        <v>8</v>
      </c>
      <c r="I18" s="942">
        <f t="shared" si="18"/>
        <v>9</v>
      </c>
      <c r="J18" s="940">
        <f>VLOOKUP(J14,$C$66:$D$76,2,FALSE)</f>
        <v>4</v>
      </c>
      <c r="K18" s="941">
        <f t="shared" si="18"/>
        <v>3</v>
      </c>
      <c r="L18" s="942">
        <f t="shared" si="18"/>
        <v>5</v>
      </c>
      <c r="M18" s="940">
        <f>VLOOKUP(M14,$C$66:$D$76,2,FALSE)</f>
        <v>4</v>
      </c>
      <c r="N18" s="941">
        <f t="shared" si="18"/>
        <v>3</v>
      </c>
      <c r="O18" s="942">
        <f t="shared" si="18"/>
        <v>5</v>
      </c>
      <c r="P18" s="940">
        <f>VLOOKUP(P14,$C$66:$D$76,2,FALSE)</f>
        <v>4</v>
      </c>
      <c r="Q18" s="941">
        <f t="shared" si="18"/>
        <v>3</v>
      </c>
      <c r="R18" s="942">
        <f t="shared" si="18"/>
        <v>5</v>
      </c>
      <c r="S18" s="827"/>
      <c r="T18" s="753"/>
      <c r="U18" s="1027">
        <v>1</v>
      </c>
      <c r="V18" s="1028">
        <v>3</v>
      </c>
      <c r="W18" s="1028">
        <v>1</v>
      </c>
      <c r="X18" s="1028">
        <v>2</v>
      </c>
      <c r="Y18" s="1028">
        <v>2</v>
      </c>
      <c r="Z18" s="950"/>
      <c r="AA18" s="823"/>
      <c r="AB18" s="927"/>
      <c r="AC18" s="928"/>
      <c r="AD18" s="928"/>
      <c r="AE18" s="928"/>
      <c r="AF18" s="1070"/>
      <c r="AG18" s="753"/>
      <c r="AH18" s="824"/>
      <c r="AI18" s="825"/>
      <c r="AJ18" s="753"/>
      <c r="AK18" s="753"/>
      <c r="AL18" s="754"/>
      <c r="AM18" s="753"/>
      <c r="AN18" s="754"/>
      <c r="AO18" s="273" t="s">
        <v>90</v>
      </c>
      <c r="AP18" s="273" t="s">
        <v>222</v>
      </c>
      <c r="AQ18" s="296">
        <v>41185</v>
      </c>
      <c r="AR18" s="305">
        <v>0.11700000000000001</v>
      </c>
      <c r="AS18" s="323" t="s">
        <v>236</v>
      </c>
      <c r="AT18" s="318" t="s">
        <v>199</v>
      </c>
      <c r="AU18" s="323" t="s">
        <v>236</v>
      </c>
      <c r="AV18" s="316">
        <v>0.111</v>
      </c>
      <c r="AW18" s="291">
        <v>41029</v>
      </c>
      <c r="AY18" s="373"/>
      <c r="BO18" s="373"/>
      <c r="BP18" s="329"/>
      <c r="CE18" s="373"/>
      <c r="CT18" s="288"/>
    </row>
    <row r="19" spans="1:98" s="75" customFormat="1">
      <c r="A19" s="224"/>
      <c r="B19" s="1292"/>
      <c r="C19" s="1293"/>
      <c r="D19" s="778"/>
      <c r="E19" s="769" t="s">
        <v>135</v>
      </c>
      <c r="F19" s="939" t="s">
        <v>136</v>
      </c>
      <c r="G19" s="778"/>
      <c r="H19" s="769" t="s">
        <v>135</v>
      </c>
      <c r="I19" s="939" t="s">
        <v>136</v>
      </c>
      <c r="J19" s="778"/>
      <c r="K19" s="769" t="s">
        <v>135</v>
      </c>
      <c r="L19" s="939" t="s">
        <v>136</v>
      </c>
      <c r="M19" s="778"/>
      <c r="N19" s="769" t="s">
        <v>135</v>
      </c>
      <c r="O19" s="939" t="s">
        <v>136</v>
      </c>
      <c r="P19" s="778"/>
      <c r="Q19" s="769" t="s">
        <v>135</v>
      </c>
      <c r="R19" s="939" t="s">
        <v>136</v>
      </c>
      <c r="S19" s="827"/>
      <c r="T19" s="753"/>
      <c r="U19" s="927"/>
      <c r="V19" s="928"/>
      <c r="W19" s="928"/>
      <c r="X19" s="928"/>
      <c r="Y19" s="928"/>
      <c r="Z19" s="754"/>
      <c r="AA19" s="823"/>
      <c r="AB19" s="1071"/>
      <c r="AC19" s="1072"/>
      <c r="AD19" s="1072"/>
      <c r="AE19" s="1072"/>
      <c r="AF19" s="1073"/>
      <c r="AG19" s="753"/>
      <c r="AH19" s="754"/>
      <c r="AI19" s="825"/>
      <c r="AJ19" s="826"/>
      <c r="AK19" s="826"/>
      <c r="AL19" s="754"/>
      <c r="AM19" s="753"/>
      <c r="AN19" s="754"/>
      <c r="AO19" s="273" t="s">
        <v>223</v>
      </c>
      <c r="AP19" s="273" t="s">
        <v>224</v>
      </c>
      <c r="AQ19" s="296">
        <v>40744</v>
      </c>
      <c r="AR19" s="305">
        <v>8.7999999999999995E-2</v>
      </c>
      <c r="AS19" s="317" t="s">
        <v>241</v>
      </c>
      <c r="AT19" s="318" t="s">
        <v>199</v>
      </c>
      <c r="AU19" s="324" t="s">
        <v>244</v>
      </c>
      <c r="AV19" s="316">
        <v>8.8999999999999996E-2</v>
      </c>
      <c r="AW19" s="296">
        <v>40617</v>
      </c>
      <c r="AY19" s="373"/>
      <c r="BO19" s="373"/>
      <c r="BP19" s="329"/>
      <c r="CE19" s="373"/>
      <c r="CT19" s="288"/>
    </row>
    <row r="20" spans="1:98">
      <c r="A20" s="222" t="s">
        <v>6</v>
      </c>
      <c r="B20" s="912" t="s">
        <v>146</v>
      </c>
      <c r="C20" s="197" t="s">
        <v>11</v>
      </c>
      <c r="D20" s="85">
        <f>IF($S$20=1,$S$10*D90+(1-$S$10)*D91,$S$10*D96+(1-$S$10)*D97)</f>
        <v>0.5</v>
      </c>
      <c r="E20" s="921">
        <f t="shared" ref="E20:R20" si="19">IF($S$20=1,$S$10*E90+(1-$S$10)*E91,$S$10*E96+(1-$S$10)*E97)</f>
        <v>0.47499999999999998</v>
      </c>
      <c r="F20" s="921">
        <f t="shared" si="19"/>
        <v>0.52500000000000002</v>
      </c>
      <c r="G20" s="85">
        <f t="shared" si="19"/>
        <v>0.6</v>
      </c>
      <c r="H20" s="921">
        <f t="shared" si="19"/>
        <v>0.57499999999999996</v>
      </c>
      <c r="I20" s="921">
        <f t="shared" si="19"/>
        <v>0.625</v>
      </c>
      <c r="J20" s="86">
        <f t="shared" si="19"/>
        <v>0.6</v>
      </c>
      <c r="K20" s="921">
        <f t="shared" si="19"/>
        <v>0.57499999999999996</v>
      </c>
      <c r="L20" s="921">
        <f t="shared" si="19"/>
        <v>0.625</v>
      </c>
      <c r="M20" s="85">
        <f t="shared" si="19"/>
        <v>0.6</v>
      </c>
      <c r="N20" s="921">
        <f t="shared" si="19"/>
        <v>0.57499999999999996</v>
      </c>
      <c r="O20" s="921">
        <f t="shared" si="19"/>
        <v>0.625</v>
      </c>
      <c r="P20" s="86">
        <f t="shared" si="19"/>
        <v>0.6</v>
      </c>
      <c r="Q20" s="921">
        <f t="shared" si="19"/>
        <v>0.57499999999999996</v>
      </c>
      <c r="R20" s="921">
        <f t="shared" si="19"/>
        <v>0.625</v>
      </c>
      <c r="S20" s="929">
        <f>IF($B$20="Hamada",100%,0%)</f>
        <v>1</v>
      </c>
      <c r="T20" s="828"/>
      <c r="U20" s="983">
        <f>U23/(1+(1-U7)*U12)</f>
        <v>0.58346199418333278</v>
      </c>
      <c r="V20" s="984">
        <f>V23/(1+(1-V7)*V12)</f>
        <v>0.57867691310587477</v>
      </c>
      <c r="W20" s="984">
        <f>W23/(1+(1-W7)*W12)</f>
        <v>0.60107647332040115</v>
      </c>
      <c r="X20" s="984">
        <f>X23/(1+(1-X7)*X12)</f>
        <v>0.6120051364716812</v>
      </c>
      <c r="Y20" s="984">
        <f>Y23/(1+(1-Y7)*Y12)</f>
        <v>0.60107647332040115</v>
      </c>
      <c r="Z20" s="946" t="s">
        <v>378</v>
      </c>
      <c r="AA20" s="529"/>
      <c r="AB20" s="88">
        <v>0.4</v>
      </c>
      <c r="AC20" s="88">
        <v>0.4</v>
      </c>
      <c r="AD20" s="88">
        <v>0.4</v>
      </c>
      <c r="AE20" s="88">
        <v>0.41</v>
      </c>
      <c r="AF20" s="88">
        <v>0.5</v>
      </c>
      <c r="AG20" s="73"/>
      <c r="AH20" s="484"/>
      <c r="AI20" s="967">
        <f>IF($S$20=1,D20-U20,D21-U20)</f>
        <v>-8.3461994183332777E-2</v>
      </c>
      <c r="AJ20" s="968">
        <f>IF($S$20=1,J20-V20,J21-V20)</f>
        <v>2.1323086894125209E-2</v>
      </c>
      <c r="AK20" s="968">
        <f>IF($S$20=1,P20-Y20,P21-Y20)</f>
        <v>-1.0764733204011723E-3</v>
      </c>
      <c r="AL20" s="469">
        <f>IF($S$20=1,M20-X20,M21-X20)</f>
        <v>-1.2005136471681221E-2</v>
      </c>
      <c r="AM20" s="541"/>
      <c r="AN20" s="469"/>
      <c r="AO20" s="273" t="s">
        <v>225</v>
      </c>
      <c r="AP20" s="273" t="s">
        <v>226</v>
      </c>
      <c r="AQ20" s="296">
        <v>41640</v>
      </c>
      <c r="AR20" s="595">
        <v>7.4999999999999997E-2</v>
      </c>
      <c r="AS20" s="323" t="s">
        <v>236</v>
      </c>
      <c r="AT20" s="323" t="s">
        <v>236</v>
      </c>
      <c r="AU20" s="318" t="s">
        <v>199</v>
      </c>
      <c r="AV20" s="311">
        <v>9.4E-2</v>
      </c>
      <c r="AW20" s="296">
        <v>40583</v>
      </c>
      <c r="BP20" s="207"/>
    </row>
    <row r="21" spans="1:98" s="52" customFormat="1">
      <c r="A21" s="221"/>
      <c r="B21" s="453" t="str">
        <f>IF(S20=1, "(Harris-P equivalent)", "(Hamada equivalent)")</f>
        <v>(Harris-P equivalent)</v>
      </c>
      <c r="C21" s="440"/>
      <c r="D21" s="89">
        <f t="shared" ref="D21:R21" si="20">D23/(1+(1-(1-$S$20)*D7)*D12)</f>
        <v>0.38651881709439689</v>
      </c>
      <c r="E21" s="90">
        <f t="shared" si="20"/>
        <v>0.42280132213134608</v>
      </c>
      <c r="F21" s="91">
        <f t="shared" si="20"/>
        <v>0.34833773275982655</v>
      </c>
      <c r="G21" s="89">
        <f t="shared" si="20"/>
        <v>0.39200561387051036</v>
      </c>
      <c r="H21" s="90">
        <f t="shared" si="20"/>
        <v>0.40087279720583147</v>
      </c>
      <c r="I21" s="91">
        <f t="shared" si="20"/>
        <v>0.37170826721246158</v>
      </c>
      <c r="J21" s="89">
        <f t="shared" si="20"/>
        <v>0.43439796948340276</v>
      </c>
      <c r="K21" s="90">
        <f t="shared" si="20"/>
        <v>0.43317149559936213</v>
      </c>
      <c r="L21" s="91">
        <f t="shared" si="20"/>
        <v>0.39072006535408976</v>
      </c>
      <c r="M21" s="89">
        <f t="shared" si="20"/>
        <v>0.50181073715404911</v>
      </c>
      <c r="N21" s="90">
        <f t="shared" si="20"/>
        <v>0.50793099719221313</v>
      </c>
      <c r="O21" s="91">
        <f t="shared" si="20"/>
        <v>0.42062145993532973</v>
      </c>
      <c r="P21" s="89">
        <f t="shared" si="20"/>
        <v>0.50370612893485445</v>
      </c>
      <c r="Q21" s="90">
        <f t="shared" si="20"/>
        <v>0.49116374649026656</v>
      </c>
      <c r="R21" s="91">
        <f t="shared" si="20"/>
        <v>0.49059661039265229</v>
      </c>
      <c r="S21" s="929"/>
      <c r="T21" s="261"/>
      <c r="U21" s="88">
        <v>0.52</v>
      </c>
      <c r="V21" s="86">
        <v>0.5</v>
      </c>
      <c r="W21" s="88">
        <v>0.55000000000000004</v>
      </c>
      <c r="X21" s="88">
        <v>0.56000000000000005</v>
      </c>
      <c r="Y21" s="86">
        <v>0.55000000000000004</v>
      </c>
      <c r="Z21" s="383" t="s">
        <v>439</v>
      </c>
      <c r="AA21" s="230"/>
      <c r="AB21" s="1074"/>
      <c r="AC21" s="1075"/>
      <c r="AD21" s="1075"/>
      <c r="AE21" s="1075"/>
      <c r="AF21" s="1076"/>
      <c r="AG21" s="261"/>
      <c r="AH21" s="484"/>
      <c r="AI21" s="1315" t="s">
        <v>379</v>
      </c>
      <c r="AJ21" s="1316"/>
      <c r="AK21" s="1316"/>
      <c r="AL21" s="1317"/>
      <c r="AM21" s="542"/>
      <c r="AN21" s="470"/>
      <c r="AO21" s="273" t="s">
        <v>227</v>
      </c>
      <c r="AP21" s="273" t="s">
        <v>228</v>
      </c>
      <c r="AQ21" s="296">
        <v>40878</v>
      </c>
      <c r="AR21" s="305">
        <v>5.3999999999999999E-2</v>
      </c>
      <c r="AS21" s="323" t="s">
        <v>236</v>
      </c>
      <c r="AT21" s="318" t="s">
        <v>199</v>
      </c>
      <c r="AU21" s="324" t="s">
        <v>244</v>
      </c>
      <c r="AV21" s="316" t="s">
        <v>240</v>
      </c>
      <c r="AW21" s="295"/>
      <c r="AY21" s="372"/>
      <c r="BO21" s="372"/>
      <c r="BP21" s="329"/>
      <c r="CE21" s="372"/>
      <c r="CT21" s="365"/>
    </row>
    <row r="22" spans="1:98" s="92" customFormat="1">
      <c r="A22" s="225" t="s">
        <v>419</v>
      </c>
      <c r="B22" s="717" t="s">
        <v>420</v>
      </c>
      <c r="D22" s="89">
        <f t="shared" ref="D22:R22" si="21">(D15*INDEX($R$114:$R$124,D18,1)-INDEX($E$100:$Q$110,D18,D8))/D5</f>
        <v>0.17232685542191742</v>
      </c>
      <c r="E22" s="90">
        <f t="shared" si="21"/>
        <v>0.15079668132596494</v>
      </c>
      <c r="F22" s="91">
        <f t="shared" si="21"/>
        <v>0.26492506359695023</v>
      </c>
      <c r="G22" s="89">
        <f t="shared" si="21"/>
        <v>0.40001116314399598</v>
      </c>
      <c r="H22" s="90">
        <f t="shared" si="21"/>
        <v>0.382234758866629</v>
      </c>
      <c r="I22" s="91">
        <f t="shared" si="21"/>
        <v>0.4456081890245065</v>
      </c>
      <c r="J22" s="89">
        <f t="shared" si="21"/>
        <v>0.22151118186029947</v>
      </c>
      <c r="K22" s="90">
        <f t="shared" si="21"/>
        <v>0.21194139378720453</v>
      </c>
      <c r="L22" s="91">
        <f t="shared" si="21"/>
        <v>0.35687592590692191</v>
      </c>
      <c r="M22" s="89">
        <f t="shared" si="21"/>
        <v>0.22151118186029947</v>
      </c>
      <c r="N22" s="90">
        <f t="shared" si="21"/>
        <v>0.21194139378720453</v>
      </c>
      <c r="O22" s="91">
        <f t="shared" si="21"/>
        <v>0.35687592590692191</v>
      </c>
      <c r="P22" s="89">
        <f t="shared" si="21"/>
        <v>0.22151118186029947</v>
      </c>
      <c r="Q22" s="90">
        <f t="shared" si="21"/>
        <v>0.21194139378720453</v>
      </c>
      <c r="R22" s="91">
        <f t="shared" si="21"/>
        <v>0.35687592590692191</v>
      </c>
      <c r="S22" s="935"/>
      <c r="U22" s="952"/>
      <c r="V22" s="393"/>
      <c r="W22" s="393"/>
      <c r="X22" s="393"/>
      <c r="Y22" s="393"/>
      <c r="Z22" s="951"/>
      <c r="AB22" s="405"/>
      <c r="AF22" s="294"/>
      <c r="AG22" s="405"/>
      <c r="AH22" s="294"/>
      <c r="AI22" s="405"/>
      <c r="AL22" s="294"/>
      <c r="AM22" s="161"/>
      <c r="AN22" s="446"/>
      <c r="AO22" s="393"/>
      <c r="AW22" s="338"/>
      <c r="AY22" s="375"/>
      <c r="BO22" s="375"/>
      <c r="BP22" s="207"/>
      <c r="CE22" s="375"/>
      <c r="CT22" s="405"/>
    </row>
    <row r="23" spans="1:98" s="92" customFormat="1">
      <c r="A23" s="225" t="s">
        <v>12</v>
      </c>
      <c r="B23" s="454" t="s">
        <v>147</v>
      </c>
      <c r="D23" s="89">
        <f>D20*(1+(1-$S$20*D7)*D12)-D22*(1-$S$20*D7)*D12</f>
        <v>0.64419802849066155</v>
      </c>
      <c r="E23" s="90">
        <f t="shared" ref="E23:R23" si="22">E20*(1+(1-$S$20*E7)*E12)-E22*(1-$S$20*E7)*E12</f>
        <v>0.52850165266418259</v>
      </c>
      <c r="F23" s="91">
        <f t="shared" si="22"/>
        <v>0.69667546551965309</v>
      </c>
      <c r="G23" s="89">
        <f t="shared" si="22"/>
        <v>0.70561010496691856</v>
      </c>
      <c r="H23" s="90">
        <f t="shared" si="22"/>
        <v>0.65597366815499691</v>
      </c>
      <c r="I23" s="91">
        <f t="shared" si="22"/>
        <v>0.74341653442492317</v>
      </c>
      <c r="J23" s="89">
        <f>J20*(1+(1-$S$20*J7)*J12)-J22*(1-$S$20*J7)*J12</f>
        <v>0.82417993745227336</v>
      </c>
      <c r="K23" s="90">
        <f t="shared" si="22"/>
        <v>0.75064345437267765</v>
      </c>
      <c r="L23" s="91">
        <f t="shared" si="22"/>
        <v>0.81900475714421272</v>
      </c>
      <c r="M23" s="89">
        <f t="shared" si="22"/>
        <v>0.6973593100145119</v>
      </c>
      <c r="N23" s="90">
        <f t="shared" si="22"/>
        <v>0.63491374649026644</v>
      </c>
      <c r="O23" s="91">
        <f t="shared" si="22"/>
        <v>0.77347220293925645</v>
      </c>
      <c r="P23" s="89">
        <f>P20*(1+(1-$S$20*P7)*P12)-P22*(1-$S$20*P7)*P12</f>
        <v>0.69476707439290275</v>
      </c>
      <c r="Q23" s="90">
        <f t="shared" si="22"/>
        <v>0.65488499532035538</v>
      </c>
      <c r="R23" s="91">
        <f t="shared" si="22"/>
        <v>0.70085230056093184</v>
      </c>
      <c r="S23" s="936"/>
      <c r="T23" s="73"/>
      <c r="U23" s="89">
        <f>U21*(1+U12)</f>
        <v>0.76470588235294124</v>
      </c>
      <c r="V23" s="161">
        <f>V21*(1+V12)</f>
        <v>0.83333333333333337</v>
      </c>
      <c r="W23" s="161">
        <f>W21*(1+W12)</f>
        <v>0.73333333333333339</v>
      </c>
      <c r="X23" s="161">
        <f>X21*(1+X12)</f>
        <v>0.7466666666666667</v>
      </c>
      <c r="Y23" s="161">
        <f>Y21*(1+Y12)</f>
        <v>0.73333333333333339</v>
      </c>
      <c r="Z23" s="484" t="s">
        <v>286</v>
      </c>
      <c r="AA23" s="531"/>
      <c r="AB23" s="89">
        <f>AB20*(1+AB12)</f>
        <v>0.61538461538461542</v>
      </c>
      <c r="AC23" s="161">
        <f>AC20*(1+AC12)</f>
        <v>0.72727272727272729</v>
      </c>
      <c r="AD23" s="161">
        <f>AD20*(1+AD12)</f>
        <v>0.53333333333333333</v>
      </c>
      <c r="AE23" s="161">
        <f>AE20*(1+AE12)</f>
        <v>0.54666666666666663</v>
      </c>
      <c r="AF23" s="446">
        <f>AF20*(1+AF12)</f>
        <v>0.66666666666666663</v>
      </c>
      <c r="AG23" s="73"/>
      <c r="AH23" s="484"/>
      <c r="AI23" s="388">
        <f>D23-U23</f>
        <v>-0.12050785386227969</v>
      </c>
      <c r="AJ23" s="161">
        <f>J23-V23</f>
        <v>-9.1533958810600113E-3</v>
      </c>
      <c r="AK23" s="161">
        <f>P23-Y23</f>
        <v>-3.8566258940430642E-2</v>
      </c>
      <c r="AL23" s="456">
        <f>M23-X23</f>
        <v>-4.9307356652154799E-2</v>
      </c>
      <c r="AM23" s="543"/>
      <c r="AN23" s="471"/>
      <c r="AO23" s="394" t="s">
        <v>233</v>
      </c>
      <c r="AP23" s="353"/>
      <c r="AQ23" s="353"/>
      <c r="AR23" s="353"/>
      <c r="AS23" s="353"/>
      <c r="AT23" s="353"/>
      <c r="AU23" s="354"/>
      <c r="AV23" s="354"/>
      <c r="AW23" s="355"/>
      <c r="AY23" s="375"/>
      <c r="BO23" s="375"/>
      <c r="BP23" s="207"/>
      <c r="CE23" s="375"/>
      <c r="CT23" s="405"/>
    </row>
    <row r="24" spans="1:98" s="92" customFormat="1">
      <c r="A24" s="226" t="s">
        <v>179</v>
      </c>
      <c r="B24" s="992" t="s">
        <v>350</v>
      </c>
      <c r="C24" s="546" t="s">
        <v>176</v>
      </c>
      <c r="D24" s="85">
        <f>D92*$S$24+D23*(1-$S$24)</f>
        <v>0.8</v>
      </c>
      <c r="E24" s="921">
        <f t="shared" ref="E24:R24" si="23">E92*$S$24+E23*(1-$S$24)</f>
        <v>0.70000000000000007</v>
      </c>
      <c r="F24" s="921">
        <f t="shared" si="23"/>
        <v>0.9</v>
      </c>
      <c r="G24" s="85">
        <f t="shared" si="23"/>
        <v>0.8</v>
      </c>
      <c r="H24" s="921">
        <f t="shared" si="23"/>
        <v>0.70000000000000007</v>
      </c>
      <c r="I24" s="921">
        <f t="shared" si="23"/>
        <v>0.9</v>
      </c>
      <c r="J24" s="86">
        <f t="shared" si="23"/>
        <v>0.8</v>
      </c>
      <c r="K24" s="921">
        <f t="shared" si="23"/>
        <v>0.70000000000000007</v>
      </c>
      <c r="L24" s="921">
        <f t="shared" si="23"/>
        <v>0.9</v>
      </c>
      <c r="M24" s="85">
        <f t="shared" si="23"/>
        <v>0.8</v>
      </c>
      <c r="N24" s="921">
        <f t="shared" si="23"/>
        <v>0.70000000000000007</v>
      </c>
      <c r="O24" s="921">
        <f t="shared" si="23"/>
        <v>0.9</v>
      </c>
      <c r="P24" s="86">
        <f t="shared" si="23"/>
        <v>0.8</v>
      </c>
      <c r="Q24" s="921">
        <f t="shared" si="23"/>
        <v>0.70000000000000007</v>
      </c>
      <c r="R24" s="921">
        <f t="shared" si="23"/>
        <v>0.9</v>
      </c>
      <c r="S24" s="929">
        <f>IF($C$24="Yes",1,0)</f>
        <v>1</v>
      </c>
      <c r="T24" s="73"/>
      <c r="U24" s="89"/>
      <c r="V24" s="161"/>
      <c r="W24" s="161"/>
      <c r="X24" s="161"/>
      <c r="Y24" s="161"/>
      <c r="Z24" s="293"/>
      <c r="AA24" s="531"/>
      <c r="AB24" s="89"/>
      <c r="AC24" s="161"/>
      <c r="AD24" s="161"/>
      <c r="AE24" s="161"/>
      <c r="AF24" s="446"/>
      <c r="AG24" s="73"/>
      <c r="AH24" s="293"/>
      <c r="AI24" s="969">
        <f>D24-U23</f>
        <v>3.5294117647058809E-2</v>
      </c>
      <c r="AJ24" s="543">
        <f>J24-V23</f>
        <v>-3.3333333333333326E-2</v>
      </c>
      <c r="AK24" s="543">
        <f>P24-Y23</f>
        <v>6.6666666666666652E-2</v>
      </c>
      <c r="AL24" s="471">
        <f>M24-X23</f>
        <v>5.3333333333333344E-2</v>
      </c>
      <c r="AM24" s="82"/>
      <c r="AN24" s="83"/>
      <c r="AO24" s="352" t="s">
        <v>354</v>
      </c>
      <c r="AW24" s="356"/>
      <c r="AY24" s="375"/>
      <c r="BO24" s="375"/>
      <c r="BP24" s="207"/>
      <c r="CE24" s="375"/>
      <c r="CT24" s="405"/>
    </row>
    <row r="25" spans="1:98" s="92" customFormat="1">
      <c r="A25" s="225" t="s">
        <v>13</v>
      </c>
      <c r="B25" s="448" t="s">
        <v>451</v>
      </c>
      <c r="C25" s="245"/>
      <c r="D25" s="99">
        <f t="shared" ref="D25:R25" si="24">D3+D24*D4+D23*D5</f>
        <v>6.6118855163960266E-2</v>
      </c>
      <c r="E25" s="57">
        <f t="shared" si="24"/>
        <v>5.3202574818457984E-2</v>
      </c>
      <c r="F25" s="130">
        <f t="shared" si="24"/>
        <v>8.0952854967724683E-2</v>
      </c>
      <c r="G25" s="99">
        <f t="shared" si="24"/>
        <v>6.9426189722071402E-2</v>
      </c>
      <c r="H25" s="57">
        <f t="shared" si="24"/>
        <v>5.9748873562655541E-2</v>
      </c>
      <c r="I25" s="130">
        <f t="shared" si="24"/>
        <v>8.3586938148114701E-2</v>
      </c>
      <c r="J25" s="99">
        <f t="shared" si="24"/>
        <v>7.5811743297675913E-2</v>
      </c>
      <c r="K25" s="57">
        <f t="shared" si="24"/>
        <v>6.4610620670395538E-2</v>
      </c>
      <c r="L25" s="130">
        <f t="shared" si="24"/>
        <v>8.7846696659499665E-2</v>
      </c>
      <c r="M25" s="99">
        <f t="shared" si="24"/>
        <v>6.8981844882363308E-2</v>
      </c>
      <c r="N25" s="57">
        <f t="shared" si="24"/>
        <v>5.8667345682078029E-2</v>
      </c>
      <c r="O25" s="130">
        <f t="shared" si="24"/>
        <v>8.5280719072753697E-2</v>
      </c>
      <c r="P25" s="99">
        <f t="shared" si="24"/>
        <v>6.8842240574122249E-2</v>
      </c>
      <c r="Q25" s="57">
        <f t="shared" si="24"/>
        <v>5.9692964996506226E-2</v>
      </c>
      <c r="R25" s="130">
        <f t="shared" si="24"/>
        <v>8.1188239634510842E-2</v>
      </c>
      <c r="S25" s="547"/>
      <c r="T25" s="73"/>
      <c r="U25" s="953">
        <f>U3+U23*U5</f>
        <v>8.0147058823529405E-2</v>
      </c>
      <c r="V25" s="955">
        <f>V3+V23*V5</f>
        <v>8.3749999999999991E-2</v>
      </c>
      <c r="W25" s="955">
        <f>W3+W23*W5</f>
        <v>7.85E-2</v>
      </c>
      <c r="X25" s="955">
        <f>X3+X23*X5</f>
        <v>7.9199999999999993E-2</v>
      </c>
      <c r="Y25" s="955">
        <f>Y3+Y23*Y5</f>
        <v>7.85E-2</v>
      </c>
      <c r="Z25" s="536" t="s">
        <v>287</v>
      </c>
      <c r="AA25" s="531"/>
      <c r="AB25" s="953">
        <f>AB3+AB23*AB5</f>
        <v>7.2846153846153838E-2</v>
      </c>
      <c r="AC25" s="955">
        <f>AC3+AC23*AC5</f>
        <v>7.9000000000000001E-2</v>
      </c>
      <c r="AD25" s="955">
        <f>AD3+AD23*AD5</f>
        <v>6.8333333333333329E-2</v>
      </c>
      <c r="AE25" s="955">
        <f>AE3+AE23*AE5</f>
        <v>6.9066666666666665E-2</v>
      </c>
      <c r="AF25" s="1069">
        <f>AF3+AF23*AF5</f>
        <v>7.566666666666666E-2</v>
      </c>
      <c r="AG25" s="73"/>
      <c r="AH25" s="536"/>
      <c r="AI25" s="99">
        <f>D25-U25</f>
        <v>-1.4028203659569138E-2</v>
      </c>
      <c r="AJ25" s="100">
        <f>J25-V25</f>
        <v>-7.9382567023240785E-3</v>
      </c>
      <c r="AK25" s="100">
        <f>P25-Y25</f>
        <v>-9.6577594258777516E-3</v>
      </c>
      <c r="AL25" s="83">
        <f>M25-X25</f>
        <v>-1.0218155117636685E-2</v>
      </c>
      <c r="AM25" s="250"/>
      <c r="AN25" s="251"/>
      <c r="AO25" s="352" t="s">
        <v>355</v>
      </c>
      <c r="AW25" s="356"/>
      <c r="AY25" s="375"/>
      <c r="BO25" s="375"/>
      <c r="BP25" s="207"/>
      <c r="CE25" s="375"/>
      <c r="CT25" s="405"/>
    </row>
    <row r="26" spans="1:98" s="92" customFormat="1">
      <c r="A26" s="225"/>
      <c r="B26" s="890" t="s">
        <v>288</v>
      </c>
      <c r="C26" s="245"/>
      <c r="D26" s="99">
        <f t="shared" ref="D26:R26" si="25">D24*D4</f>
        <v>5.1225495045285653E-3</v>
      </c>
      <c r="E26" s="94">
        <f t="shared" si="25"/>
        <v>4.5178458343599556E-3</v>
      </c>
      <c r="F26" s="101">
        <f t="shared" si="25"/>
        <v>6.9006520133374953E-3</v>
      </c>
      <c r="G26" s="99">
        <f t="shared" si="25"/>
        <v>5.1225495045285653E-3</v>
      </c>
      <c r="H26" s="94">
        <f t="shared" si="25"/>
        <v>4.5178458343599556E-3</v>
      </c>
      <c r="I26" s="101">
        <f t="shared" si="25"/>
        <v>6.9006520133374953E-3</v>
      </c>
      <c r="J26" s="99">
        <f t="shared" si="25"/>
        <v>5.1225495045285653E-3</v>
      </c>
      <c r="K26" s="94">
        <f t="shared" si="25"/>
        <v>4.5178458343599556E-3</v>
      </c>
      <c r="L26" s="101">
        <f t="shared" si="25"/>
        <v>6.9006520133374953E-3</v>
      </c>
      <c r="M26" s="99">
        <f t="shared" si="25"/>
        <v>5.1225495045285653E-3</v>
      </c>
      <c r="N26" s="94">
        <f t="shared" si="25"/>
        <v>4.5178458343599556E-3</v>
      </c>
      <c r="O26" s="101">
        <f t="shared" si="25"/>
        <v>6.9006520133374953E-3</v>
      </c>
      <c r="P26" s="99">
        <f t="shared" si="25"/>
        <v>5.1225495045285653E-3</v>
      </c>
      <c r="Q26" s="94">
        <f t="shared" si="25"/>
        <v>4.5178458343599556E-3</v>
      </c>
      <c r="R26" s="101">
        <f t="shared" si="25"/>
        <v>6.9006520133374953E-3</v>
      </c>
      <c r="S26" s="932"/>
      <c r="T26" s="73"/>
      <c r="U26" s="953"/>
      <c r="V26" s="954"/>
      <c r="W26" s="955"/>
      <c r="X26" s="955"/>
      <c r="Y26" s="954"/>
      <c r="Z26" s="445"/>
      <c r="AA26" s="531"/>
      <c r="AB26" s="953"/>
      <c r="AC26" s="955"/>
      <c r="AD26" s="955"/>
      <c r="AE26" s="955"/>
      <c r="AF26" s="1069"/>
      <c r="AG26" s="73"/>
      <c r="AH26" s="445"/>
      <c r="AI26" s="389">
        <f>AI25-D26</f>
        <v>-1.9150753164097704E-2</v>
      </c>
      <c r="AJ26" s="250">
        <f>AJ25-J26</f>
        <v>-1.3060806206852644E-2</v>
      </c>
      <c r="AK26" s="250">
        <f>AK25-P26</f>
        <v>-1.4780308930406317E-2</v>
      </c>
      <c r="AL26" s="251">
        <f>AL25-M26</f>
        <v>-1.534070462216525E-2</v>
      </c>
      <c r="AM26" s="485"/>
      <c r="AN26" s="484"/>
      <c r="AO26" s="352" t="s">
        <v>356</v>
      </c>
      <c r="AP26" s="48"/>
      <c r="AQ26" s="48"/>
      <c r="AR26" s="48"/>
      <c r="AS26" s="48"/>
      <c r="AT26" s="48"/>
      <c r="AU26" s="48"/>
      <c r="AW26" s="357"/>
      <c r="AY26" s="375"/>
      <c r="BO26" s="375"/>
      <c r="BP26" s="207"/>
      <c r="CE26" s="375"/>
      <c r="CT26" s="405"/>
    </row>
    <row r="27" spans="1:98">
      <c r="A27" s="226"/>
      <c r="B27" s="448"/>
      <c r="C27" s="245"/>
      <c r="D27" s="96"/>
      <c r="E27" s="985"/>
      <c r="F27" s="986"/>
      <c r="G27" s="96"/>
      <c r="H27" s="985"/>
      <c r="I27" s="986"/>
      <c r="J27" s="96"/>
      <c r="K27" s="985"/>
      <c r="L27" s="986"/>
      <c r="M27" s="96"/>
      <c r="N27" s="985"/>
      <c r="O27" s="986"/>
      <c r="P27" s="96"/>
      <c r="Q27" s="985"/>
      <c r="R27" s="986"/>
      <c r="S27" s="937"/>
      <c r="T27" s="73"/>
      <c r="U27" s="465"/>
      <c r="V27" s="954"/>
      <c r="W27" s="955"/>
      <c r="X27" s="955"/>
      <c r="Y27" s="954"/>
      <c r="Z27" s="445"/>
      <c r="AA27" s="531"/>
      <c r="AB27" s="953"/>
      <c r="AC27" s="955"/>
      <c r="AD27" s="955"/>
      <c r="AE27" s="955"/>
      <c r="AF27" s="1069"/>
      <c r="AG27" s="73"/>
      <c r="AH27" s="445"/>
      <c r="AI27" s="349"/>
      <c r="AJ27" s="111" t="s">
        <v>289</v>
      </c>
      <c r="AK27" s="95"/>
      <c r="AL27" s="484"/>
      <c r="AM27" s="82"/>
      <c r="AN27" s="83"/>
      <c r="AO27" s="352" t="s">
        <v>357</v>
      </c>
      <c r="AW27" s="357"/>
      <c r="BP27" s="207"/>
    </row>
    <row r="28" spans="1:98" s="41" customFormat="1">
      <c r="A28" s="988" t="s">
        <v>17</v>
      </c>
      <c r="B28" s="1087" t="s">
        <v>266</v>
      </c>
      <c r="C28" s="1087"/>
      <c r="D28" s="1088">
        <f t="shared" ref="D28:R28" si="26">(1-D11)/(1-D7)*D25+D11*D17</f>
        <v>7.6172970707316712E-2</v>
      </c>
      <c r="E28" s="94">
        <f t="shared" si="26"/>
        <v>7.1212601326553715E-2</v>
      </c>
      <c r="F28" s="101">
        <f t="shared" si="26"/>
        <v>8.8911716298802679E-2</v>
      </c>
      <c r="G28" s="1089">
        <f t="shared" si="26"/>
        <v>9.9730784592595989E-2</v>
      </c>
      <c r="H28" s="94">
        <f t="shared" si="26"/>
        <v>8.4514170663426536E-2</v>
      </c>
      <c r="I28" s="101">
        <f t="shared" si="26"/>
        <v>0.11640022238238792</v>
      </c>
      <c r="J28" s="999">
        <f>(1-J11)/(1-J7)*J25+J11*J17</f>
        <v>8.1555337818754861E-2</v>
      </c>
      <c r="K28" s="94">
        <f t="shared" si="26"/>
        <v>7.2207604525637056E-2</v>
      </c>
      <c r="L28" s="101">
        <f t="shared" si="26"/>
        <v>9.696784565958988E-2</v>
      </c>
      <c r="M28" s="1089">
        <f t="shared" si="26"/>
        <v>8.7662972620182106E-2</v>
      </c>
      <c r="N28" s="94">
        <f t="shared" si="26"/>
        <v>7.8536979091268749E-2</v>
      </c>
      <c r="O28" s="101">
        <f t="shared" si="26"/>
        <v>9.9463065436832199E-2</v>
      </c>
      <c r="P28" s="999">
        <f t="shared" si="26"/>
        <v>8.7834696185358122E-2</v>
      </c>
      <c r="Q28" s="94">
        <f t="shared" si="26"/>
        <v>7.7117410904385356E-2</v>
      </c>
      <c r="R28" s="101">
        <f t="shared" si="26"/>
        <v>0.10530237098702089</v>
      </c>
      <c r="S28" s="933"/>
      <c r="T28" s="73"/>
      <c r="U28" s="1090">
        <f>(1-U11)/(1-U7)*U25+U11*U17</f>
        <v>0.10016324799272837</v>
      </c>
      <c r="V28" s="1007">
        <f>(1-V11)/(1-V7)*V25+V11*V17</f>
        <v>9.8924829571277073E-2</v>
      </c>
      <c r="W28" s="1091">
        <f>(1-W11)/(1-W7)*W25+W11*W17</f>
        <v>0.10294103166186941</v>
      </c>
      <c r="X28" s="1091">
        <f>(1-X11)/(1-X7)*X25+X11*X17</f>
        <v>0.10373636570216634</v>
      </c>
      <c r="Y28" s="1007">
        <f>(1-Y11)/(1-Y7)*Y25+Y11*Y17</f>
        <v>0.10294103166186941</v>
      </c>
      <c r="Z28" s="537" t="s">
        <v>280</v>
      </c>
      <c r="AA28" s="529"/>
      <c r="AB28" s="1092">
        <f>(1-AB11)/(1-AB7)*AB25+AB11*AB17</f>
        <v>9.1681555824875013E-2</v>
      </c>
      <c r="AC28" s="1093">
        <f>(1-AC11)/(1-AC7)*AC25+AC11*AC17</f>
        <v>9.1473360096955003E-2</v>
      </c>
      <c r="AD28" s="1094">
        <f>(1-AD11)/(1-AD7)*AD25+AD11*AD17</f>
        <v>9.1889751552795024E-2</v>
      </c>
      <c r="AE28" s="1094">
        <f>(1-AE11)/(1-AE7)*AE25+AE11*AE17</f>
        <v>9.2722958642629902E-2</v>
      </c>
      <c r="AF28" s="1095">
        <f>(1-AF11)/(1-AF7)*AF25+AF11*AF17</f>
        <v>0.10022182245114376</v>
      </c>
      <c r="AG28" s="901"/>
      <c r="AH28" s="537"/>
      <c r="AI28" s="1089">
        <f>D28-U28</f>
        <v>-2.3990277285411657E-2</v>
      </c>
      <c r="AJ28" s="1128">
        <f>J28-V28</f>
        <v>-1.7369491752522212E-2</v>
      </c>
      <c r="AK28" s="1128">
        <f>P28-Y28</f>
        <v>-1.5106335476511287E-2</v>
      </c>
      <c r="AL28" s="1096">
        <f>M28-X28</f>
        <v>-1.607339308198423E-2</v>
      </c>
      <c r="AM28" s="82"/>
      <c r="AN28" s="83"/>
      <c r="AO28" s="523" t="s">
        <v>267</v>
      </c>
      <c r="AW28" s="359"/>
      <c r="AY28" s="358"/>
      <c r="BO28" s="358"/>
      <c r="BP28" s="207"/>
      <c r="CE28" s="358"/>
      <c r="CM28" s="523"/>
      <c r="CT28" s="364"/>
    </row>
    <row r="29" spans="1:98" s="41" customFormat="1">
      <c r="A29" s="225"/>
      <c r="B29" s="900" t="s">
        <v>471</v>
      </c>
      <c r="C29" s="891"/>
      <c r="D29" s="99"/>
      <c r="E29" s="94"/>
      <c r="F29" s="101"/>
      <c r="G29" s="99"/>
      <c r="H29" s="94"/>
      <c r="I29" s="101"/>
      <c r="J29" s="99"/>
      <c r="K29" s="94"/>
      <c r="L29" s="101"/>
      <c r="M29" s="99"/>
      <c r="N29" s="94"/>
      <c r="O29" s="101"/>
      <c r="P29" s="999">
        <f>P28-J28</f>
        <v>6.2793583666032604E-3</v>
      </c>
      <c r="Q29" s="94">
        <f t="shared" ref="Q29:R29" si="27">Q28-K28</f>
        <v>4.9098063787482993E-3</v>
      </c>
      <c r="R29" s="101">
        <f t="shared" si="27"/>
        <v>8.3345253274310083E-3</v>
      </c>
      <c r="S29" s="936"/>
      <c r="T29" s="73"/>
      <c r="U29" s="987"/>
      <c r="V29" s="958"/>
      <c r="W29" s="958"/>
      <c r="X29" s="958"/>
      <c r="Y29" s="1062">
        <f>Y28-V28</f>
        <v>4.0162020905923357E-3</v>
      </c>
      <c r="Z29" s="1085" t="s">
        <v>474</v>
      </c>
      <c r="AA29" s="222"/>
      <c r="AB29" s="987"/>
      <c r="AC29" s="958"/>
      <c r="AD29" s="958"/>
      <c r="AE29" s="958"/>
      <c r="AF29" s="1077">
        <f>AF28-AC28</f>
        <v>8.7484623541887602E-3</v>
      </c>
      <c r="AG29" s="73"/>
      <c r="AH29" s="444"/>
      <c r="AI29" s="99"/>
      <c r="AJ29" s="1086"/>
      <c r="AK29" s="1128">
        <f>AK28-AJ28</f>
        <v>2.2631562760109247E-3</v>
      </c>
      <c r="AL29" s="83"/>
      <c r="AM29" s="100"/>
      <c r="AN29" s="444"/>
      <c r="AO29" s="1318" t="s">
        <v>268</v>
      </c>
      <c r="AP29" s="1319"/>
      <c r="AQ29" s="1319"/>
      <c r="AR29" s="1319"/>
      <c r="AS29" s="1319"/>
      <c r="AT29" s="1319"/>
      <c r="AU29" s="1319"/>
      <c r="AV29" s="1319"/>
      <c r="AW29" s="1320"/>
      <c r="AY29" s="371"/>
      <c r="AZ29" s="207"/>
      <c r="BA29" s="207"/>
      <c r="BB29" s="207"/>
      <c r="BC29" s="207"/>
      <c r="BD29" s="203"/>
      <c r="BE29" s="203"/>
      <c r="BF29" s="203"/>
      <c r="BG29" s="203"/>
      <c r="BH29" s="203"/>
      <c r="BI29" s="203"/>
      <c r="BJ29" s="203"/>
      <c r="BK29" s="203"/>
      <c r="BL29" s="203"/>
      <c r="BM29" s="203"/>
      <c r="BN29" s="203"/>
      <c r="BO29" s="371"/>
      <c r="BP29" s="207"/>
      <c r="CE29" s="358"/>
      <c r="CM29" s="523"/>
      <c r="CT29" s="364"/>
    </row>
    <row r="30" spans="1:98" ht="13.2" customHeight="1">
      <c r="A30" s="227"/>
      <c r="B30" s="718"/>
      <c r="C30" s="719"/>
      <c r="D30" s="99"/>
      <c r="E30" s="922" t="s">
        <v>136</v>
      </c>
      <c r="F30" s="923" t="s">
        <v>135</v>
      </c>
      <c r="G30" s="915"/>
      <c r="H30" s="922" t="s">
        <v>136</v>
      </c>
      <c r="I30" s="923" t="s">
        <v>135</v>
      </c>
      <c r="J30" s="915"/>
      <c r="K30" s="922" t="s">
        <v>136</v>
      </c>
      <c r="L30" s="923" t="s">
        <v>135</v>
      </c>
      <c r="M30" s="915"/>
      <c r="N30" s="922" t="s">
        <v>136</v>
      </c>
      <c r="O30" s="923" t="s">
        <v>135</v>
      </c>
      <c r="P30" s="915"/>
      <c r="Q30" s="922" t="s">
        <v>136</v>
      </c>
      <c r="R30" s="923" t="s">
        <v>135</v>
      </c>
      <c r="S30" s="547"/>
      <c r="T30" s="73"/>
      <c r="U30" s="956"/>
      <c r="V30" s="957"/>
      <c r="W30" s="958"/>
      <c r="X30" s="958"/>
      <c r="Y30" s="957"/>
      <c r="Z30" s="444"/>
      <c r="AA30" s="222"/>
      <c r="AB30" s="987"/>
      <c r="AC30" s="958"/>
      <c r="AD30" s="958"/>
      <c r="AE30" s="958"/>
      <c r="AF30" s="1078"/>
      <c r="AG30" s="73"/>
      <c r="AH30" s="444"/>
      <c r="AI30" s="350"/>
      <c r="AJ30" s="100"/>
      <c r="AK30" s="100"/>
      <c r="AL30" s="444"/>
      <c r="AM30" s="82"/>
      <c r="AN30" s="83"/>
      <c r="AO30" s="1318"/>
      <c r="AP30" s="1319"/>
      <c r="AQ30" s="1319"/>
      <c r="AR30" s="1319"/>
      <c r="AS30" s="1319"/>
      <c r="AT30" s="1319"/>
      <c r="AU30" s="1319"/>
      <c r="AV30" s="1319"/>
      <c r="AW30" s="1320"/>
      <c r="AY30" s="371"/>
      <c r="AZ30" s="207"/>
      <c r="BA30" s="207"/>
      <c r="BB30" s="207"/>
      <c r="BC30" s="207"/>
      <c r="BD30" s="207"/>
    </row>
    <row r="31" spans="1:98">
      <c r="A31" s="227" t="s">
        <v>23</v>
      </c>
      <c r="B31" s="196" t="s">
        <v>4</v>
      </c>
      <c r="C31" s="197"/>
      <c r="D31" s="733">
        <f t="shared" ref="D31:I31" si="28">$J$31</f>
        <v>2.7898562271062275E-2</v>
      </c>
      <c r="E31" s="925">
        <f t="shared" si="28"/>
        <v>2.7898562271062275E-2</v>
      </c>
      <c r="F31" s="925">
        <f t="shared" si="28"/>
        <v>2.7898562271062275E-2</v>
      </c>
      <c r="G31" s="733">
        <f t="shared" si="28"/>
        <v>2.7898562271062275E-2</v>
      </c>
      <c r="H31" s="925">
        <f t="shared" si="28"/>
        <v>2.7898562271062275E-2</v>
      </c>
      <c r="I31" s="925">
        <f t="shared" si="28"/>
        <v>2.7898562271062275E-2</v>
      </c>
      <c r="J31" s="201">
        <f>$D$78/100</f>
        <v>2.7898562271062275E-2</v>
      </c>
      <c r="K31" s="925">
        <f t="shared" ref="K31:R31" si="29">$J$31</f>
        <v>2.7898562271062275E-2</v>
      </c>
      <c r="L31" s="925">
        <f t="shared" si="29"/>
        <v>2.7898562271062275E-2</v>
      </c>
      <c r="M31" s="733">
        <f t="shared" si="29"/>
        <v>2.7898562271062275E-2</v>
      </c>
      <c r="N31" s="925">
        <f t="shared" si="29"/>
        <v>2.7898562271062275E-2</v>
      </c>
      <c r="O31" s="925">
        <f t="shared" si="29"/>
        <v>2.7898562271062275E-2</v>
      </c>
      <c r="P31" s="733">
        <f t="shared" si="29"/>
        <v>2.7898562271062275E-2</v>
      </c>
      <c r="Q31" s="925">
        <f t="shared" si="29"/>
        <v>2.7898562271062275E-2</v>
      </c>
      <c r="R31" s="925">
        <f t="shared" si="29"/>
        <v>2.7898562271062275E-2</v>
      </c>
      <c r="S31" s="932"/>
      <c r="U31" s="46">
        <v>3.7999999999999999E-2</v>
      </c>
      <c r="V31" s="993">
        <f>$U$31</f>
        <v>3.7999999999999999E-2</v>
      </c>
      <c r="W31" s="994">
        <f>$U$31</f>
        <v>3.7999999999999999E-2</v>
      </c>
      <c r="X31" s="994">
        <f>$U$31</f>
        <v>3.7999999999999999E-2</v>
      </c>
      <c r="Y31" s="995">
        <f>$U$31</f>
        <v>3.7999999999999999E-2</v>
      </c>
      <c r="Z31" s="162" t="s">
        <v>4</v>
      </c>
      <c r="AA31" s="529"/>
      <c r="AB31" s="46">
        <v>4.2000000000000003E-2</v>
      </c>
      <c r="AC31" s="993">
        <f>$AB$31</f>
        <v>4.2000000000000003E-2</v>
      </c>
      <c r="AD31" s="994">
        <f>$AB$31</f>
        <v>4.2000000000000003E-2</v>
      </c>
      <c r="AE31" s="994">
        <f>$AB$31</f>
        <v>4.2000000000000003E-2</v>
      </c>
      <c r="AF31" s="995">
        <f>$AB$31</f>
        <v>4.2000000000000003E-2</v>
      </c>
      <c r="AH31" s="83"/>
      <c r="AI31" s="972">
        <f>D31-U31</f>
        <v>-1.0101437728937724E-2</v>
      </c>
      <c r="AJ31" s="966">
        <f>J31-V31</f>
        <v>-1.0101437728937724E-2</v>
      </c>
      <c r="AK31" s="334">
        <f>K31-Y31</f>
        <v>-1.0101437728937724E-2</v>
      </c>
      <c r="AL31" s="973">
        <f>M31-Y31</f>
        <v>-1.0101437728937724E-2</v>
      </c>
      <c r="AM31" s="95"/>
      <c r="AN31" s="445"/>
      <c r="AO31" s="523" t="s">
        <v>270</v>
      </c>
      <c r="AP31" s="390"/>
      <c r="AQ31" s="390"/>
      <c r="AR31" s="390"/>
      <c r="AS31" s="390"/>
      <c r="AT31" s="390"/>
      <c r="AU31" s="390"/>
      <c r="AV31" s="390"/>
      <c r="AW31" s="391"/>
      <c r="AX31" s="282"/>
    </row>
    <row r="32" spans="1:98" ht="13.2" customHeight="1">
      <c r="A32" s="227"/>
      <c r="B32" s="896" t="s">
        <v>450</v>
      </c>
      <c r="C32" s="723"/>
      <c r="D32" s="99">
        <f t="shared" ref="D32:R32" si="30">D7/(1-D7)*(1-D11)*D31</f>
        <v>8.6193497796704134E-3</v>
      </c>
      <c r="E32" s="57">
        <f t="shared" si="30"/>
        <v>1.1492466372893884E-2</v>
      </c>
      <c r="F32" s="131">
        <f t="shared" si="30"/>
        <v>7.1827914830586773E-3</v>
      </c>
      <c r="G32" s="99">
        <f t="shared" si="30"/>
        <v>7.9808794256207537E-3</v>
      </c>
      <c r="H32" s="57">
        <f t="shared" si="30"/>
        <v>8.7789673681828283E-3</v>
      </c>
      <c r="I32" s="131">
        <f t="shared" si="30"/>
        <v>7.1827914830586773E-3</v>
      </c>
      <c r="J32" s="99">
        <f t="shared" si="30"/>
        <v>7.5716233644526265E-3</v>
      </c>
      <c r="K32" s="57">
        <f t="shared" si="30"/>
        <v>8.2899025127584937E-3</v>
      </c>
      <c r="L32" s="131">
        <f t="shared" si="30"/>
        <v>6.8533442161467593E-3</v>
      </c>
      <c r="M32" s="99">
        <f t="shared" si="30"/>
        <v>1.0337287642614231E-2</v>
      </c>
      <c r="N32" s="57">
        <f t="shared" si="30"/>
        <v>1.1492466372893884E-2</v>
      </c>
      <c r="O32" s="131">
        <f t="shared" si="30"/>
        <v>7.8121391526010976E-3</v>
      </c>
      <c r="P32" s="99">
        <f t="shared" si="30"/>
        <v>1.0415047650435081E-2</v>
      </c>
      <c r="Q32" s="57">
        <f t="shared" si="30"/>
        <v>1.0774187224588016E-2</v>
      </c>
      <c r="R32" s="131">
        <f t="shared" si="30"/>
        <v>1.0055908076282148E-2</v>
      </c>
      <c r="S32" s="937"/>
      <c r="U32" s="959">
        <f>$U$7/(1-$U$7)*(1-U11)*U31</f>
        <v>1.3305584002423871E-2</v>
      </c>
      <c r="V32" s="960">
        <f>$U$7/(1-$U$7)*(1-V11)*V31</f>
        <v>1.17402211786093E-2</v>
      </c>
      <c r="W32" s="960">
        <f>$U$7/(1-$U$7)*(1-W11)*W31</f>
        <v>1.4675276473261625E-2</v>
      </c>
      <c r="X32" s="960">
        <f>$U$7/(1-$U$7)*(1-X11)*X31</f>
        <v>1.4675276473261625E-2</v>
      </c>
      <c r="Y32" s="960">
        <f>$U$7/(1-$U$7)*(1-Y11)*Y31</f>
        <v>1.4675276473261625E-2</v>
      </c>
      <c r="Z32" s="445" t="s">
        <v>450</v>
      </c>
      <c r="AA32" s="529"/>
      <c r="AB32" s="1081">
        <f>$AB$7/(1-$AB$7)*(1-AB11)*AB31</f>
        <v>1.4057370095440084E-2</v>
      </c>
      <c r="AC32" s="960">
        <f>$AB$7/(1-$AB$7)*(1-AC11)*AC31</f>
        <v>1.1894697773064686E-2</v>
      </c>
      <c r="AD32" s="960">
        <f>$AB$7/(1-$AB$7)*(1-AD11)*AD31</f>
        <v>1.6220042417815481E-2</v>
      </c>
      <c r="AE32" s="960">
        <f>$AB$7/(1-$AB$7)*(1-AE11)*AE31</f>
        <v>1.6220042417815481E-2</v>
      </c>
      <c r="AF32" s="1079">
        <f>$AB$7/(1-$AB$7)*(1-AF11)*AF31</f>
        <v>1.6220042417815481E-2</v>
      </c>
      <c r="AH32" s="445"/>
      <c r="AI32" s="349"/>
      <c r="AJ32" s="95"/>
      <c r="AK32" s="95"/>
      <c r="AL32" s="445"/>
      <c r="AM32" s="95"/>
      <c r="AN32" s="445"/>
      <c r="AO32" s="1321" t="s">
        <v>271</v>
      </c>
      <c r="AP32" s="1321"/>
      <c r="AQ32" s="1321"/>
      <c r="AR32" s="1321"/>
      <c r="AS32" s="1321"/>
      <c r="AT32" s="1321"/>
      <c r="AU32" s="1321"/>
      <c r="AV32" s="1321"/>
      <c r="AW32" s="1322"/>
      <c r="AX32" s="283"/>
      <c r="BP32" s="435"/>
      <c r="CF32" s="435"/>
    </row>
    <row r="33" spans="1:98" s="102" customFormat="1" ht="13.2" customHeight="1">
      <c r="A33" s="228"/>
      <c r="B33" s="722"/>
      <c r="C33" s="723"/>
      <c r="D33" s="99"/>
      <c r="E33" s="922" t="s">
        <v>136</v>
      </c>
      <c r="F33" s="923" t="s">
        <v>135</v>
      </c>
      <c r="G33" s="915"/>
      <c r="H33" s="922" t="s">
        <v>136</v>
      </c>
      <c r="I33" s="923" t="s">
        <v>135</v>
      </c>
      <c r="J33" s="915"/>
      <c r="K33" s="922" t="s">
        <v>136</v>
      </c>
      <c r="L33" s="923" t="s">
        <v>135</v>
      </c>
      <c r="M33" s="915"/>
      <c r="N33" s="922" t="s">
        <v>136</v>
      </c>
      <c r="O33" s="923" t="s">
        <v>135</v>
      </c>
      <c r="P33" s="915"/>
      <c r="Q33" s="922" t="s">
        <v>136</v>
      </c>
      <c r="R33" s="923" t="s">
        <v>135</v>
      </c>
      <c r="S33" s="937"/>
      <c r="T33" s="47"/>
      <c r="U33" s="961"/>
      <c r="V33" s="962"/>
      <c r="W33" s="962"/>
      <c r="X33" s="962"/>
      <c r="Y33" s="962"/>
      <c r="Z33" s="445"/>
      <c r="AA33" s="529"/>
      <c r="AB33" s="961"/>
      <c r="AC33" s="962"/>
      <c r="AD33" s="962"/>
      <c r="AE33" s="962"/>
      <c r="AF33" s="1080"/>
      <c r="AG33" s="47"/>
      <c r="AH33" s="445"/>
      <c r="AI33" s="349"/>
      <c r="AJ33" s="95"/>
      <c r="AK33" s="95"/>
      <c r="AL33" s="445"/>
      <c r="AM33" s="544"/>
      <c r="AN33" s="472"/>
      <c r="AO33" s="1321"/>
      <c r="AP33" s="1321"/>
      <c r="AQ33" s="1321"/>
      <c r="AR33" s="1321"/>
      <c r="AS33" s="1321"/>
      <c r="AT33" s="1321"/>
      <c r="AU33" s="1321"/>
      <c r="AV33" s="1321"/>
      <c r="AW33" s="1322"/>
      <c r="AX33" s="283"/>
      <c r="AY33" s="376"/>
      <c r="AZ33" s="549" t="s">
        <v>317</v>
      </c>
      <c r="BA33" s="596"/>
      <c r="BB33" s="596"/>
      <c r="BC33" s="596"/>
      <c r="BD33" s="596"/>
      <c r="BE33" s="596"/>
      <c r="BF33" s="596"/>
      <c r="BG33" s="506"/>
      <c r="BH33" s="506"/>
      <c r="BI33" s="506"/>
      <c r="BJ33" s="506"/>
      <c r="BK33" s="506"/>
      <c r="BL33" s="506"/>
      <c r="BM33" s="506"/>
      <c r="BN33" s="515" t="s">
        <v>337</v>
      </c>
      <c r="CE33" s="376"/>
      <c r="CF33" s="1308" t="s">
        <v>490</v>
      </c>
      <c r="CG33" s="1308"/>
      <c r="CH33" s="1308"/>
      <c r="CI33" s="1308"/>
      <c r="CJ33" s="1308"/>
      <c r="CK33" s="1308"/>
      <c r="CT33" s="406"/>
    </row>
    <row r="34" spans="1:98" s="102" customFormat="1">
      <c r="A34" s="228"/>
      <c r="B34" s="196" t="s">
        <v>190</v>
      </c>
      <c r="C34" s="197"/>
      <c r="D34" s="525">
        <f>D86</f>
        <v>0.55555555555555558</v>
      </c>
      <c r="E34" s="924">
        <f>F86</f>
        <v>0.66666666666666663</v>
      </c>
      <c r="F34" s="924">
        <f>E86</f>
        <v>0.2857142857142857</v>
      </c>
      <c r="G34" s="525">
        <f>G86</f>
        <v>0.69618557805635917</v>
      </c>
      <c r="H34" s="924">
        <f>I86</f>
        <v>0.83831565413050457</v>
      </c>
      <c r="I34" s="924">
        <f>H86</f>
        <v>0.33907333425173347</v>
      </c>
      <c r="J34" s="716">
        <f>J86</f>
        <v>0.81672559734276229</v>
      </c>
      <c r="K34" s="924">
        <f>L86</f>
        <v>0.98544335767093716</v>
      </c>
      <c r="L34" s="924">
        <f>K86</f>
        <v>0.38480966156954588</v>
      </c>
      <c r="M34" s="716">
        <f>M86</f>
        <v>0.14705882352941177</v>
      </c>
      <c r="N34" s="924">
        <f>O86</f>
        <v>0.16806722689075629</v>
      </c>
      <c r="O34" s="924">
        <f>N86</f>
        <v>0.13071895424836602</v>
      </c>
      <c r="P34" s="525">
        <f>P86</f>
        <v>0.14705882352941177</v>
      </c>
      <c r="Q34" s="924">
        <f>R86</f>
        <v>0.16806722689075629</v>
      </c>
      <c r="R34" s="924">
        <f>Q86</f>
        <v>0.13071895424836602</v>
      </c>
      <c r="S34" s="933"/>
      <c r="T34" s="51"/>
      <c r="U34" s="78">
        <f>$W$61</f>
        <v>0.23875561877926038</v>
      </c>
      <c r="V34" s="77">
        <f>$W$61</f>
        <v>0.23875561877926038</v>
      </c>
      <c r="W34" s="78">
        <f>$W$61</f>
        <v>0.23875561877926038</v>
      </c>
      <c r="X34" s="78">
        <f>$Z$61</f>
        <v>0.16690072761760621</v>
      </c>
      <c r="Y34" s="77">
        <f>$Z$61</f>
        <v>0.16690072761760621</v>
      </c>
      <c r="Z34" s="383" t="s">
        <v>190</v>
      </c>
      <c r="AA34" s="532"/>
      <c r="AB34" s="78">
        <f>$AD$61</f>
        <v>0.24062460754083934</v>
      </c>
      <c r="AC34" s="78">
        <f>$AD$61</f>
        <v>0.24062460754083934</v>
      </c>
      <c r="AD34" s="78">
        <f>$AD$61</f>
        <v>0.24062460754083934</v>
      </c>
      <c r="AE34" s="78">
        <f>$AG$61</f>
        <v>0.16033882658734161</v>
      </c>
      <c r="AF34" s="78">
        <f>$AG$61</f>
        <v>0.16033882658734161</v>
      </c>
      <c r="AG34" s="93"/>
      <c r="AH34" s="484"/>
      <c r="AI34" s="971">
        <f>D34-U34</f>
        <v>0.3167999367762952</v>
      </c>
      <c r="AJ34" s="1030">
        <f>J34-V34</f>
        <v>0.57796997856350196</v>
      </c>
      <c r="AK34" s="1030">
        <f>P34-Y34</f>
        <v>-1.9841904088194445E-2</v>
      </c>
      <c r="AL34" s="472">
        <f>M34-X34</f>
        <v>-1.9841904088194445E-2</v>
      </c>
      <c r="AM34" s="485"/>
      <c r="AN34" s="484"/>
      <c r="AO34" s="482"/>
      <c r="AP34" s="287"/>
      <c r="AQ34" s="287"/>
      <c r="AR34" s="287"/>
      <c r="AS34" s="287"/>
      <c r="AT34" s="287"/>
      <c r="AU34" s="287"/>
      <c r="AV34" s="287"/>
      <c r="AW34" s="392"/>
      <c r="AY34" s="376"/>
      <c r="AZ34" s="550" t="s">
        <v>489</v>
      </c>
      <c r="BA34" s="523"/>
      <c r="BB34" s="523"/>
      <c r="BC34" s="523"/>
      <c r="BD34" s="523"/>
      <c r="BE34" s="523"/>
      <c r="BF34" s="523"/>
      <c r="BG34" s="523"/>
      <c r="BH34" s="523"/>
      <c r="BI34" s="31"/>
      <c r="BJ34" s="523"/>
      <c r="BK34" s="523"/>
      <c r="BL34" s="523"/>
      <c r="BM34" s="523"/>
      <c r="BO34" s="41"/>
      <c r="BV34" s="41"/>
      <c r="BW34" s="41"/>
      <c r="BX34" s="41"/>
      <c r="BY34" s="41"/>
      <c r="BZ34" s="41"/>
      <c r="CA34" s="41"/>
      <c r="CB34" s="41"/>
      <c r="CC34" s="41"/>
      <c r="CD34" s="41"/>
      <c r="CE34" s="376"/>
      <c r="CF34" s="1308"/>
      <c r="CG34" s="1308"/>
      <c r="CH34" s="1308"/>
      <c r="CI34" s="1308"/>
      <c r="CJ34" s="1308"/>
      <c r="CK34" s="1308"/>
      <c r="CT34" s="406"/>
    </row>
    <row r="35" spans="1:98" s="102" customFormat="1">
      <c r="A35" s="227" t="s">
        <v>456</v>
      </c>
      <c r="B35" s="718" t="s">
        <v>191</v>
      </c>
      <c r="C35" s="719"/>
      <c r="D35" s="734">
        <f t="shared" ref="D35:R35" si="31">1/D34</f>
        <v>1.7999999999999998</v>
      </c>
      <c r="E35" s="262">
        <f t="shared" si="31"/>
        <v>1.5</v>
      </c>
      <c r="F35" s="384">
        <f t="shared" si="31"/>
        <v>3.5</v>
      </c>
      <c r="G35" s="743">
        <f t="shared" si="31"/>
        <v>1.4363986148518662</v>
      </c>
      <c r="H35" s="262">
        <f t="shared" si="31"/>
        <v>1.1928680981595092</v>
      </c>
      <c r="I35" s="384">
        <f t="shared" si="31"/>
        <v>2.9492145178764897</v>
      </c>
      <c r="J35" s="743">
        <f t="shared" si="31"/>
        <v>1.224401443096097</v>
      </c>
      <c r="K35" s="262">
        <f t="shared" si="31"/>
        <v>1.0147716682199441</v>
      </c>
      <c r="L35" s="384">
        <f t="shared" si="31"/>
        <v>2.5986873508353221</v>
      </c>
      <c r="M35" s="743">
        <f t="shared" si="31"/>
        <v>6.8</v>
      </c>
      <c r="N35" s="262">
        <f t="shared" si="31"/>
        <v>5.95</v>
      </c>
      <c r="O35" s="384">
        <f t="shared" si="31"/>
        <v>7.6499999999999995</v>
      </c>
      <c r="P35" s="743">
        <f t="shared" si="31"/>
        <v>6.8</v>
      </c>
      <c r="Q35" s="262">
        <f t="shared" si="31"/>
        <v>5.95</v>
      </c>
      <c r="R35" s="384">
        <f t="shared" si="31"/>
        <v>7.6499999999999995</v>
      </c>
      <c r="S35" s="933"/>
      <c r="T35" s="103"/>
      <c r="U35" s="963">
        <f>1/U34</f>
        <v>4.1883831053397831</v>
      </c>
      <c r="V35" s="964">
        <f>1/V34</f>
        <v>4.1883831053397831</v>
      </c>
      <c r="W35" s="964">
        <f>1/W34</f>
        <v>4.1883831053397831</v>
      </c>
      <c r="X35" s="964">
        <f>1/X34</f>
        <v>5.9915856226291897</v>
      </c>
      <c r="Y35" s="964">
        <f>1/Y34</f>
        <v>5.9915856226291897</v>
      </c>
      <c r="Z35" s="172" t="s">
        <v>191</v>
      </c>
      <c r="AA35" s="532"/>
      <c r="AB35" s="1082">
        <f>1/AB34</f>
        <v>4.1558509340333272</v>
      </c>
      <c r="AC35" s="1083">
        <f>1/AC34</f>
        <v>4.1558509340333272</v>
      </c>
      <c r="AD35" s="1083">
        <f>1/AD34</f>
        <v>4.1558509340333272</v>
      </c>
      <c r="AE35" s="1083">
        <f>1/AE34</f>
        <v>6.2367925553906218</v>
      </c>
      <c r="AF35" s="1084">
        <f>1/AF34</f>
        <v>6.2367925553906218</v>
      </c>
      <c r="AG35" s="93"/>
      <c r="AH35" s="484"/>
      <c r="AI35" s="1034">
        <f>D35-U35</f>
        <v>-2.3883831053397833</v>
      </c>
      <c r="AJ35" s="1035">
        <f>J35-V35</f>
        <v>-2.9639816622436861</v>
      </c>
      <c r="AK35" s="1035">
        <f>P35-Y35</f>
        <v>0.80841437737081012</v>
      </c>
      <c r="AL35" s="1036">
        <f>M35-X35</f>
        <v>0.80841437737081012</v>
      </c>
      <c r="AM35" s="82"/>
      <c r="AN35" s="83"/>
      <c r="AO35" s="1309" t="s">
        <v>269</v>
      </c>
      <c r="AP35" s="1310"/>
      <c r="AQ35" s="1310"/>
      <c r="AR35" s="1310"/>
      <c r="AS35" s="1310"/>
      <c r="AT35" s="1310"/>
      <c r="AU35" s="1310"/>
      <c r="AV35" s="1310"/>
      <c r="AW35" s="1311"/>
      <c r="AY35" s="376"/>
      <c r="AZ35" s="358" t="s">
        <v>318</v>
      </c>
      <c r="BG35" s="523"/>
      <c r="BH35" s="107"/>
      <c r="BI35" s="107"/>
      <c r="BJ35" s="107"/>
      <c r="BK35" s="107"/>
      <c r="BL35" s="107"/>
      <c r="BM35" s="107"/>
      <c r="BN35" s="107"/>
      <c r="BO35" s="41"/>
      <c r="BV35" s="41"/>
      <c r="BW35" s="41"/>
      <c r="BX35" s="41"/>
      <c r="BY35" s="41"/>
      <c r="BZ35" s="41"/>
      <c r="CA35" s="41"/>
      <c r="CB35" s="41"/>
      <c r="CC35" s="41"/>
      <c r="CD35" s="41"/>
      <c r="CE35" s="376"/>
      <c r="CF35" s="1308"/>
      <c r="CG35" s="1308"/>
      <c r="CH35" s="1308"/>
      <c r="CI35" s="1308"/>
      <c r="CJ35" s="1308"/>
      <c r="CK35" s="1308"/>
      <c r="CT35" s="406"/>
    </row>
    <row r="36" spans="1:98" s="102" customFormat="1" ht="13.2" customHeight="1">
      <c r="A36" s="227" t="s">
        <v>22</v>
      </c>
      <c r="B36" s="894" t="s">
        <v>452</v>
      </c>
      <c r="C36" s="897"/>
      <c r="D36" s="99">
        <f t="shared" ref="D36:R36" si="32">D32*D34</f>
        <v>4.7885276553724524E-3</v>
      </c>
      <c r="E36" s="94">
        <f t="shared" si="32"/>
        <v>7.6616442485959221E-3</v>
      </c>
      <c r="F36" s="101">
        <f t="shared" si="32"/>
        <v>2.052226138016765E-3</v>
      </c>
      <c r="G36" s="99">
        <f t="shared" si="32"/>
        <v>5.5561731563238881E-3</v>
      </c>
      <c r="H36" s="94">
        <f t="shared" si="32"/>
        <v>7.359545771848542E-3</v>
      </c>
      <c r="I36" s="101">
        <f t="shared" si="32"/>
        <v>2.4354930573956594E-3</v>
      </c>
      <c r="J36" s="99">
        <f t="shared" si="32"/>
        <v>6.1839386151869872E-3</v>
      </c>
      <c r="K36" s="94">
        <f t="shared" si="32"/>
        <v>8.1692293669374683E-3</v>
      </c>
      <c r="L36" s="101">
        <f t="shared" si="32"/>
        <v>2.637233068435039E-3</v>
      </c>
      <c r="M36" s="99">
        <f t="shared" si="32"/>
        <v>1.5201893592079753E-3</v>
      </c>
      <c r="N36" s="94">
        <f t="shared" si="32"/>
        <v>1.9315069534275434E-3</v>
      </c>
      <c r="O36" s="101">
        <f t="shared" si="32"/>
        <v>1.0211946604707317E-3</v>
      </c>
      <c r="P36" s="99">
        <f t="shared" si="32"/>
        <v>1.5316246544757473E-3</v>
      </c>
      <c r="Q36" s="94">
        <f t="shared" si="32"/>
        <v>1.8107877688383219E-3</v>
      </c>
      <c r="R36" s="101">
        <f t="shared" si="32"/>
        <v>1.3144977877493004E-3</v>
      </c>
      <c r="S36" s="937"/>
      <c r="T36" s="93"/>
      <c r="U36" s="997">
        <f>U32*U34</f>
        <v>3.1767829417181392E-3</v>
      </c>
      <c r="V36" s="998">
        <f>V32*V34</f>
        <v>2.8030437721042411E-3</v>
      </c>
      <c r="W36" s="998">
        <f>W32*W34</f>
        <v>3.5038047151303015E-3</v>
      </c>
      <c r="X36" s="998">
        <f>X32*X34</f>
        <v>2.4493143213769031E-3</v>
      </c>
      <c r="Y36" s="998">
        <f>Y32*Y34</f>
        <v>2.4493143213769031E-3</v>
      </c>
      <c r="Z36" s="996" t="s">
        <v>453</v>
      </c>
      <c r="AA36" s="532"/>
      <c r="AB36" s="959">
        <f>AB32*AB34</f>
        <v>3.3825491622716014E-3</v>
      </c>
      <c r="AC36" s="960">
        <f>AC32*AC34</f>
        <v>2.8621569834605858E-3</v>
      </c>
      <c r="AD36" s="960">
        <f>AD32*AD34</f>
        <v>3.9029413410826166E-3</v>
      </c>
      <c r="AE36" s="960">
        <f>AE32*AE34</f>
        <v>2.6007025684694415E-3</v>
      </c>
      <c r="AF36" s="1079">
        <f>AF32*AF34</f>
        <v>2.6007025684694415E-3</v>
      </c>
      <c r="AG36" s="104"/>
      <c r="AH36" s="484"/>
      <c r="AI36" s="99">
        <f>D36-U36</f>
        <v>1.6117447136543132E-3</v>
      </c>
      <c r="AJ36" s="100">
        <f>J36-V36</f>
        <v>3.3808948430827462E-3</v>
      </c>
      <c r="AK36" s="100">
        <f>P36-Y36</f>
        <v>-9.1768966690115579E-4</v>
      </c>
      <c r="AL36" s="83">
        <f>M36-X36</f>
        <v>-9.2912496216892779E-4</v>
      </c>
      <c r="AM36" s="95"/>
      <c r="AN36" s="445"/>
      <c r="AO36" s="1309"/>
      <c r="AP36" s="1310"/>
      <c r="AQ36" s="1310"/>
      <c r="AR36" s="1310"/>
      <c r="AS36" s="1310"/>
      <c r="AT36" s="1310"/>
      <c r="AU36" s="1310"/>
      <c r="AV36" s="1310"/>
      <c r="AW36" s="1311"/>
      <c r="AY36" s="376"/>
      <c r="AZ36" s="358" t="s">
        <v>392</v>
      </c>
      <c r="BA36" s="523"/>
      <c r="BB36" s="523"/>
      <c r="BC36" s="523"/>
      <c r="BD36" s="523"/>
      <c r="BE36" s="523"/>
      <c r="BF36" s="523"/>
      <c r="BG36" s="523"/>
      <c r="BH36" s="31"/>
      <c r="BI36" s="31"/>
      <c r="BJ36" s="31"/>
      <c r="BK36" s="31"/>
      <c r="BL36" s="31"/>
      <c r="BM36" s="31"/>
      <c r="BN36" s="52"/>
      <c r="BO36" s="41"/>
      <c r="BV36" s="41"/>
      <c r="BW36" s="41"/>
      <c r="BX36" s="41"/>
      <c r="BY36" s="41"/>
      <c r="BZ36" s="41"/>
      <c r="CA36" s="41"/>
      <c r="CB36" s="41"/>
      <c r="CC36" s="41"/>
      <c r="CD36" s="41"/>
      <c r="CE36" s="376"/>
      <c r="CN36" s="526"/>
      <c r="CO36" s="526"/>
      <c r="CP36" s="526"/>
      <c r="CQ36" s="526"/>
      <c r="CR36" s="526"/>
      <c r="CT36" s="406"/>
    </row>
    <row r="37" spans="1:98" s="107" customFormat="1">
      <c r="A37" s="229"/>
      <c r="B37" s="720"/>
      <c r="C37" s="721"/>
      <c r="D37" s="96"/>
      <c r="E37" s="97"/>
      <c r="F37" s="98"/>
      <c r="G37" s="96"/>
      <c r="H37" s="97"/>
      <c r="I37" s="98"/>
      <c r="J37" s="96"/>
      <c r="K37" s="97"/>
      <c r="L37" s="98"/>
      <c r="M37" s="96"/>
      <c r="N37" s="97"/>
      <c r="O37" s="98"/>
      <c r="P37" s="96"/>
      <c r="Q37" s="97"/>
      <c r="R37" s="98"/>
      <c r="S37" s="937"/>
      <c r="T37" s="103"/>
      <c r="U37" s="1005"/>
      <c r="V37" s="103"/>
      <c r="W37" s="93"/>
      <c r="X37" s="93"/>
      <c r="Y37" s="103"/>
      <c r="Z37" s="538"/>
      <c r="AA37" s="533"/>
      <c r="AB37" s="1104"/>
      <c r="AC37" s="93"/>
      <c r="AD37" s="93"/>
      <c r="AE37" s="93"/>
      <c r="AF37" s="1105"/>
      <c r="AG37" s="105"/>
      <c r="AH37" s="538"/>
      <c r="AI37" s="349"/>
      <c r="AJ37" s="95"/>
      <c r="AK37" s="95"/>
      <c r="AL37" s="445"/>
      <c r="AM37" s="82"/>
      <c r="AN37" s="83"/>
      <c r="AO37" s="1312"/>
      <c r="AP37" s="1313"/>
      <c r="AQ37" s="1313"/>
      <c r="AR37" s="1313"/>
      <c r="AS37" s="1313"/>
      <c r="AT37" s="1313"/>
      <c r="AU37" s="1313"/>
      <c r="AV37" s="1313"/>
      <c r="AW37" s="1314"/>
      <c r="AY37" s="377"/>
      <c r="AZ37" s="551" t="s">
        <v>393</v>
      </c>
      <c r="BA37" s="597"/>
      <c r="BB37" s="597"/>
      <c r="BC37" s="597"/>
      <c r="BD37" s="597"/>
      <c r="BE37" s="597"/>
      <c r="BF37" s="597"/>
      <c r="BG37" s="597"/>
      <c r="BH37" s="598"/>
      <c r="BI37" s="598"/>
      <c r="BJ37" s="598"/>
      <c r="BK37" s="598"/>
      <c r="BL37" s="598"/>
      <c r="BM37" s="598"/>
      <c r="BN37" s="599"/>
      <c r="CE37" s="521" t="s">
        <v>340</v>
      </c>
      <c r="CF37" s="516" t="s">
        <v>264</v>
      </c>
      <c r="CG37" s="517">
        <f>BQ1-BA1</f>
        <v>8.8728075562144182E-3</v>
      </c>
      <c r="CH37" s="516" t="s">
        <v>265</v>
      </c>
      <c r="CI37" s="518">
        <f>BS1-BC1</f>
        <v>4.0331010452961669E-3</v>
      </c>
      <c r="CJ37" s="519" t="s">
        <v>405</v>
      </c>
      <c r="CK37" s="519"/>
      <c r="CM37" s="1303"/>
      <c r="CN37" s="1303"/>
      <c r="CO37" s="1303"/>
      <c r="CP37" s="1303"/>
      <c r="CQ37" s="1303"/>
      <c r="CR37" s="1303"/>
      <c r="CS37" s="1303"/>
      <c r="CT37" s="407"/>
    </row>
    <row r="38" spans="1:98" s="52" customFormat="1">
      <c r="A38" s="365" t="s">
        <v>24</v>
      </c>
      <c r="B38" s="1097" t="s">
        <v>274</v>
      </c>
      <c r="C38" s="1098"/>
      <c r="D38" s="1099">
        <f t="shared" ref="D38:R38" si="33">D28-D36</f>
        <v>7.138444305194426E-2</v>
      </c>
      <c r="E38" s="1100">
        <f t="shared" si="33"/>
        <v>6.3550957077957798E-2</v>
      </c>
      <c r="F38" s="1101">
        <f t="shared" si="33"/>
        <v>8.685949016078591E-2</v>
      </c>
      <c r="G38" s="1099">
        <f t="shared" si="33"/>
        <v>9.4174611436272107E-2</v>
      </c>
      <c r="H38" s="1100">
        <f t="shared" si="33"/>
        <v>7.7154624891577997E-2</v>
      </c>
      <c r="I38" s="1101">
        <f t="shared" si="33"/>
        <v>0.11396472932499227</v>
      </c>
      <c r="J38" s="1102">
        <f t="shared" si="33"/>
        <v>7.5371399203567876E-2</v>
      </c>
      <c r="K38" s="1100">
        <f t="shared" si="33"/>
        <v>6.403837515869959E-2</v>
      </c>
      <c r="L38" s="1101">
        <f t="shared" si="33"/>
        <v>9.4330612591154842E-2</v>
      </c>
      <c r="M38" s="1099">
        <f t="shared" si="33"/>
        <v>8.6142783260974132E-2</v>
      </c>
      <c r="N38" s="1100">
        <f t="shared" si="33"/>
        <v>7.6605472137841205E-2</v>
      </c>
      <c r="O38" s="1101">
        <f t="shared" si="33"/>
        <v>9.8441870776361462E-2</v>
      </c>
      <c r="P38" s="1103">
        <f t="shared" si="33"/>
        <v>8.6303071530882375E-2</v>
      </c>
      <c r="Q38" s="1118">
        <f t="shared" si="33"/>
        <v>7.5306623135547035E-2</v>
      </c>
      <c r="R38" s="1119">
        <f t="shared" si="33"/>
        <v>0.10398787319927159</v>
      </c>
      <c r="S38" s="938"/>
      <c r="T38" s="451">
        <v>40269</v>
      </c>
      <c r="U38" s="1110">
        <f>U28-U36</f>
        <v>9.6986465051010232E-2</v>
      </c>
      <c r="V38" s="1111">
        <f>V28-V36</f>
        <v>9.6121785799172826E-2</v>
      </c>
      <c r="W38" s="1112">
        <f>W28-W36</f>
        <v>9.9437226946739107E-2</v>
      </c>
      <c r="X38" s="1112">
        <f>X28-X36</f>
        <v>0.10128705138078943</v>
      </c>
      <c r="Y38" s="1113">
        <f>Y28-Y36</f>
        <v>0.1004917173404925</v>
      </c>
      <c r="Z38" s="1114" t="s">
        <v>308</v>
      </c>
      <c r="AA38" s="1045">
        <v>40269</v>
      </c>
      <c r="AB38" s="1106">
        <f>AB28-AB36</f>
        <v>8.8299006662603416E-2</v>
      </c>
      <c r="AC38" s="1107">
        <f>AC28-AC36</f>
        <v>8.8611203113494422E-2</v>
      </c>
      <c r="AD38" s="1108">
        <f>AD28-AD36</f>
        <v>8.798681021171241E-2</v>
      </c>
      <c r="AE38" s="1106">
        <f>AE28-AE36</f>
        <v>9.0122256074160467E-2</v>
      </c>
      <c r="AF38" s="1109">
        <f>AF28-AF36</f>
        <v>9.7621119882674329E-2</v>
      </c>
      <c r="AG38" s="106"/>
      <c r="AH38" s="605"/>
      <c r="AI38" s="1099">
        <f>D38-U38</f>
        <v>-2.5602021999065971E-2</v>
      </c>
      <c r="AJ38" s="1129">
        <f>J38-V38</f>
        <v>-2.075038659560495E-2</v>
      </c>
      <c r="AK38" s="1130">
        <f>P38-Y38</f>
        <v>-1.4188645809610129E-2</v>
      </c>
      <c r="AL38" s="1115">
        <f>M38-X38</f>
        <v>-1.5144268119815299E-2</v>
      </c>
      <c r="AM38" s="95"/>
      <c r="AN38" s="445"/>
      <c r="AO38" s="788"/>
      <c r="AP38" s="788"/>
      <c r="AQ38" s="788"/>
      <c r="AR38" s="788"/>
      <c r="AS38" s="788"/>
      <c r="AT38" s="788"/>
      <c r="AU38" s="788"/>
      <c r="AV38" s="788"/>
      <c r="AW38" s="788"/>
      <c r="AX38" s="788"/>
      <c r="AY38" s="902"/>
      <c r="BN38" s="600"/>
      <c r="BO38" s="31"/>
      <c r="BV38" s="31"/>
      <c r="BW38" s="31"/>
      <c r="BX38" s="31"/>
      <c r="BY38" s="31"/>
      <c r="BZ38" s="31"/>
      <c r="CA38" s="31"/>
      <c r="CB38" s="31"/>
      <c r="CC38" s="31"/>
      <c r="CD38" s="31"/>
      <c r="CE38" s="522"/>
      <c r="CF38" s="516" t="s">
        <v>412</v>
      </c>
      <c r="CG38" s="518">
        <f>BQ2-BA2</f>
        <v>-2.5934491896111578E-3</v>
      </c>
      <c r="CH38" s="516" t="s">
        <v>412</v>
      </c>
      <c r="CI38" s="518">
        <f>BS2-BC2</f>
        <v>1.7352592797818381E-2</v>
      </c>
      <c r="CJ38" s="519" t="s">
        <v>314</v>
      </c>
      <c r="CK38" s="519"/>
      <c r="CM38" s="1303"/>
      <c r="CN38" s="1303"/>
      <c r="CO38" s="1303"/>
      <c r="CP38" s="1303"/>
      <c r="CQ38" s="1303"/>
      <c r="CR38" s="1303"/>
      <c r="CS38" s="1303"/>
      <c r="CT38" s="365"/>
    </row>
    <row r="39" spans="1:98" s="52" customFormat="1">
      <c r="A39" s="230"/>
      <c r="B39" s="402" t="s">
        <v>470</v>
      </c>
      <c r="C39" s="1043"/>
      <c r="D39" s="645"/>
      <c r="E39" s="1049"/>
      <c r="F39" s="1049"/>
      <c r="G39" s="1049"/>
      <c r="H39" s="1049"/>
      <c r="I39" s="1049"/>
      <c r="J39" s="1049"/>
      <c r="K39" s="1050"/>
      <c r="L39" s="1049"/>
      <c r="M39" s="1051"/>
      <c r="N39" s="875"/>
      <c r="O39" s="876"/>
      <c r="P39" s="1060">
        <f>P38-J38</f>
        <v>1.0931672327314498E-2</v>
      </c>
      <c r="Q39" s="1003">
        <f>Q38-K38</f>
        <v>1.1268247976847445E-2</v>
      </c>
      <c r="R39" s="1004">
        <f>R38-L38</f>
        <v>9.6572606081167522E-3</v>
      </c>
      <c r="S39" s="499"/>
      <c r="T39" s="109"/>
      <c r="U39" s="976"/>
      <c r="V39" s="1052"/>
      <c r="W39" s="1053"/>
      <c r="X39" s="1054"/>
      <c r="Y39" s="1063">
        <f>Y38-V38</f>
        <v>4.3699315413196771E-3</v>
      </c>
      <c r="Z39" s="1058" t="s">
        <v>473</v>
      </c>
      <c r="AB39" s="788"/>
      <c r="AC39" s="788"/>
      <c r="AD39" s="788"/>
      <c r="AE39" s="788"/>
      <c r="AF39" s="1055">
        <f>AF38-AC38</f>
        <v>9.009916769179907E-3</v>
      </c>
      <c r="AI39" s="1057"/>
      <c r="AJ39" s="646"/>
      <c r="AK39" s="1131">
        <f>AK38-AJ38</f>
        <v>6.5617407859948212E-3</v>
      </c>
      <c r="AL39" s="1056"/>
      <c r="AM39" s="95"/>
      <c r="AN39" s="445"/>
      <c r="AO39" s="774"/>
      <c r="AP39" s="774"/>
      <c r="AQ39" s="774"/>
      <c r="AR39" s="774"/>
      <c r="AS39" s="774"/>
      <c r="AT39" s="774"/>
      <c r="AU39" s="774"/>
      <c r="AV39" s="774"/>
      <c r="AW39" s="774"/>
      <c r="AX39" s="903"/>
      <c r="AY39" s="902"/>
      <c r="AZ39" s="31"/>
      <c r="BA39" s="48"/>
      <c r="BB39" s="48"/>
      <c r="BC39" s="48"/>
      <c r="BD39" s="48"/>
      <c r="BE39" s="48"/>
      <c r="BF39" s="48"/>
      <c r="BG39" s="48"/>
      <c r="BH39" s="48"/>
      <c r="BI39" s="48"/>
      <c r="BJ39" s="48"/>
      <c r="BK39" s="48"/>
      <c r="BL39" s="48"/>
      <c r="BM39" s="48"/>
      <c r="BN39" s="357"/>
      <c r="BO39" s="31"/>
      <c r="BP39" s="31"/>
      <c r="BQ39" s="31"/>
      <c r="BR39" s="31"/>
      <c r="BS39" s="31"/>
      <c r="BT39" s="31"/>
      <c r="BU39" s="31"/>
      <c r="BV39" s="31"/>
      <c r="BW39" s="31"/>
      <c r="BX39" s="31"/>
      <c r="BY39" s="31"/>
      <c r="BZ39" s="31"/>
      <c r="CA39" s="31"/>
      <c r="CB39" s="31"/>
      <c r="CC39" s="31"/>
      <c r="CD39" s="31"/>
      <c r="CE39" s="369"/>
      <c r="CF39" s="520"/>
      <c r="CG39" s="520"/>
      <c r="CH39" s="520"/>
      <c r="CI39" s="520"/>
      <c r="CJ39" s="520"/>
      <c r="CK39" s="520"/>
      <c r="CM39" s="1303"/>
      <c r="CN39" s="1303"/>
      <c r="CO39" s="1303"/>
      <c r="CP39" s="1303"/>
      <c r="CQ39" s="1303"/>
      <c r="CR39" s="1303"/>
      <c r="CS39" s="1303"/>
      <c r="CT39" s="365"/>
    </row>
    <row r="40" spans="1:98">
      <c r="A40" s="231" t="s">
        <v>146</v>
      </c>
      <c r="B40" s="347" t="s">
        <v>469</v>
      </c>
      <c r="C40" s="98"/>
      <c r="D40" s="350">
        <f>AVERAGE(E38,F38)</f>
        <v>7.5205223619371847E-2</v>
      </c>
      <c r="E40" s="94"/>
      <c r="F40" s="94"/>
      <c r="G40" s="94">
        <f>AVERAGE(H38,I38)</f>
        <v>9.555967710828514E-2</v>
      </c>
      <c r="H40" s="94"/>
      <c r="I40" s="94"/>
      <c r="J40" s="94">
        <f>AVERAGE(K38,L38)</f>
        <v>7.9184493874927209E-2</v>
      </c>
      <c r="K40" s="94"/>
      <c r="L40" s="94"/>
      <c r="M40" s="94">
        <f>AVERAGE(N38,O38)</f>
        <v>8.7523671457101326E-2</v>
      </c>
      <c r="N40" s="94"/>
      <c r="O40" s="94"/>
      <c r="P40" s="94">
        <f>AVERAGE(Q38,R38)</f>
        <v>8.9647248167409321E-2</v>
      </c>
      <c r="T40" s="451">
        <v>40118</v>
      </c>
      <c r="U40" s="33">
        <v>9.2611345840225401E-2</v>
      </c>
      <c r="V40" s="33">
        <v>8.9419535439103887E-2</v>
      </c>
      <c r="W40" s="33">
        <v>9.6577593060431122E-2</v>
      </c>
      <c r="X40" s="33">
        <v>9.8472793686555607E-2</v>
      </c>
      <c r="Y40" s="33">
        <v>9.7715332695796631E-2</v>
      </c>
      <c r="AB40" s="772"/>
      <c r="AC40" s="772"/>
      <c r="AD40" s="772"/>
      <c r="AE40" s="772"/>
      <c r="AF40" s="772"/>
      <c r="AL40" s="95"/>
      <c r="AO40" s="774"/>
      <c r="AP40" s="774"/>
      <c r="AQ40" s="774"/>
      <c r="AR40" s="774"/>
      <c r="AS40" s="774"/>
      <c r="AT40" s="774"/>
      <c r="AU40" s="774"/>
      <c r="AV40" s="774"/>
      <c r="AW40" s="774"/>
      <c r="AX40" s="787"/>
      <c r="AY40" s="904"/>
      <c r="AZ40" s="523"/>
      <c r="BA40" s="523"/>
      <c r="BB40" s="523"/>
      <c r="BC40" s="523"/>
      <c r="BD40" s="523"/>
      <c r="BE40" s="523"/>
      <c r="BF40" s="523"/>
      <c r="BG40" s="523"/>
      <c r="BH40" s="523"/>
      <c r="BI40" s="523"/>
      <c r="BJ40" s="523"/>
      <c r="BK40" s="523"/>
      <c r="BL40" s="523"/>
      <c r="BM40" s="113"/>
      <c r="BN40" s="548"/>
      <c r="BO40" s="41"/>
      <c r="BP40" s="41"/>
      <c r="BQ40" s="41"/>
      <c r="BR40" s="41"/>
      <c r="BS40" s="41"/>
      <c r="BT40" s="41"/>
      <c r="BU40" s="41"/>
      <c r="BV40" s="41"/>
      <c r="BW40" s="41"/>
      <c r="BX40" s="41"/>
      <c r="BY40" s="41"/>
      <c r="BZ40" s="41"/>
      <c r="CA40" s="41"/>
      <c r="CB40" s="41"/>
      <c r="CC40" s="41"/>
      <c r="CD40" s="41"/>
      <c r="CE40" s="378"/>
      <c r="CF40" s="516" t="s">
        <v>336</v>
      </c>
      <c r="CG40" s="518">
        <f>BQ4-BA4</f>
        <v>1.9160069444444455E-2</v>
      </c>
      <c r="CH40" s="516" t="s">
        <v>315</v>
      </c>
      <c r="CI40" s="518">
        <f>BS4-BC4</f>
        <v>1.8575000000000008E-2</v>
      </c>
      <c r="CJ40" s="519" t="s">
        <v>316</v>
      </c>
      <c r="CK40" s="519"/>
      <c r="CM40" s="1303"/>
      <c r="CN40" s="1303"/>
      <c r="CO40" s="1303"/>
      <c r="CP40" s="1303"/>
      <c r="CQ40" s="1303"/>
      <c r="CR40" s="1303"/>
      <c r="CS40" s="1303"/>
    </row>
    <row r="41" spans="1:98" s="751" customFormat="1">
      <c r="A41" s="765" t="s">
        <v>455</v>
      </c>
      <c r="B41" s="347" t="s">
        <v>492</v>
      </c>
      <c r="D41" s="1038" t="s">
        <v>472</v>
      </c>
      <c r="E41" s="788"/>
      <c r="F41" s="788"/>
      <c r="G41" s="788"/>
      <c r="H41" s="766"/>
      <c r="I41" s="766"/>
      <c r="J41" s="767"/>
      <c r="K41" s="770"/>
      <c r="P41" s="94">
        <f>P40-J40</f>
        <v>1.0462754292482113E-2</v>
      </c>
      <c r="Y41" s="33">
        <f>Y40-V40</f>
        <v>8.295797256692744E-3</v>
      </c>
      <c r="AA41" s="769"/>
      <c r="AB41" s="772"/>
      <c r="AC41" s="772"/>
      <c r="AD41" s="772"/>
      <c r="AE41" s="772"/>
      <c r="AF41" s="772"/>
      <c r="AG41" s="771"/>
      <c r="AH41" s="773"/>
      <c r="AI41" s="782"/>
      <c r="AJ41" s="782"/>
      <c r="AL41" s="782"/>
      <c r="AM41" s="753"/>
      <c r="AN41" s="754"/>
      <c r="AO41" s="774"/>
      <c r="AP41" s="774"/>
      <c r="AQ41" s="774"/>
      <c r="AR41" s="774"/>
      <c r="AS41" s="774"/>
      <c r="AT41" s="774"/>
      <c r="AU41" s="774"/>
      <c r="AV41" s="774"/>
      <c r="AW41" s="774"/>
      <c r="AY41" s="756"/>
      <c r="BN41" s="757"/>
      <c r="BO41" s="758"/>
      <c r="BP41" s="758"/>
      <c r="BQ41" s="758"/>
      <c r="BR41" s="758"/>
      <c r="BS41" s="758"/>
      <c r="BT41" s="758"/>
      <c r="BU41" s="758"/>
      <c r="BV41" s="758"/>
      <c r="BW41" s="758"/>
      <c r="BX41" s="758"/>
      <c r="BY41" s="758"/>
      <c r="BZ41" s="758"/>
      <c r="CA41" s="758"/>
      <c r="CB41" s="758"/>
      <c r="CC41" s="758"/>
      <c r="CD41" s="758"/>
      <c r="CE41" s="756"/>
      <c r="CF41" s="775" t="s">
        <v>409</v>
      </c>
      <c r="CG41" s="518">
        <f>BQ5-BA5</f>
        <v>-1.514386735385212E-2</v>
      </c>
      <c r="CH41" s="775" t="s">
        <v>409</v>
      </c>
      <c r="CI41" s="518">
        <f>BS5-BC5</f>
        <v>-1.4558797909407672E-2</v>
      </c>
      <c r="CJ41" s="776" t="s">
        <v>314</v>
      </c>
      <c r="CK41" s="776"/>
      <c r="CN41" s="777"/>
      <c r="CO41" s="777"/>
      <c r="CP41" s="777"/>
      <c r="CQ41" s="777"/>
      <c r="CR41" s="777"/>
      <c r="CT41" s="760"/>
    </row>
    <row r="42" spans="1:98" s="751" customFormat="1">
      <c r="A42" s="822"/>
      <c r="B42" s="900" t="s">
        <v>448</v>
      </c>
      <c r="K42" s="113"/>
      <c r="L42" s="1212"/>
      <c r="M42" s="1213"/>
      <c r="N42" s="1213"/>
      <c r="O42" s="1213"/>
      <c r="P42" s="1214"/>
      <c r="Q42" s="1213"/>
      <c r="R42" s="1215" t="s">
        <v>515</v>
      </c>
      <c r="S42" s="1216" t="s">
        <v>487</v>
      </c>
      <c r="T42" s="1217"/>
      <c r="U42" s="1217"/>
      <c r="V42" s="1217"/>
      <c r="W42" s="1217"/>
      <c r="Z42" s="52"/>
      <c r="AA42" s="52"/>
      <c r="AB42" s="1046"/>
      <c r="AC42" s="1047"/>
      <c r="AD42" s="770"/>
      <c r="AE42" s="1048"/>
      <c r="AF42" s="1048"/>
      <c r="AG42" s="51"/>
      <c r="AH42" s="52"/>
      <c r="AI42" s="97"/>
      <c r="AJ42" s="95"/>
      <c r="AK42" s="95"/>
      <c r="AL42" s="782"/>
      <c r="AM42" s="753"/>
      <c r="AN42" s="754"/>
      <c r="AO42" s="774"/>
      <c r="AP42" s="774"/>
      <c r="AQ42" s="774"/>
      <c r="AR42" s="774"/>
      <c r="AS42" s="774"/>
      <c r="AT42" s="774"/>
      <c r="AU42" s="774"/>
      <c r="AV42" s="774"/>
      <c r="AW42" s="774"/>
      <c r="AY42" s="756"/>
      <c r="BN42" s="757"/>
      <c r="BO42" s="758"/>
      <c r="BP42" s="758"/>
      <c r="BQ42" s="758"/>
      <c r="BR42" s="758"/>
      <c r="BS42" s="758"/>
      <c r="BT42" s="758"/>
      <c r="BU42" s="758"/>
      <c r="BV42" s="758"/>
      <c r="BW42" s="758"/>
      <c r="BX42" s="758"/>
      <c r="BY42" s="758"/>
      <c r="BZ42" s="758"/>
      <c r="CA42" s="758"/>
      <c r="CB42" s="758"/>
      <c r="CC42" s="758"/>
      <c r="CD42" s="758"/>
      <c r="CE42" s="756"/>
      <c r="CF42" s="783"/>
      <c r="CG42" s="753"/>
      <c r="CH42" s="783"/>
      <c r="CI42" s="753"/>
      <c r="CJ42" s="774"/>
      <c r="CK42" s="774"/>
      <c r="CN42" s="777"/>
      <c r="CO42" s="777"/>
      <c r="CP42" s="777"/>
      <c r="CQ42" s="777"/>
      <c r="CR42" s="777"/>
      <c r="CT42" s="760"/>
    </row>
    <row r="43" spans="1:98" s="751" customFormat="1">
      <c r="A43" s="765" t="s">
        <v>176</v>
      </c>
      <c r="C43" s="779"/>
      <c r="V43" s="47"/>
      <c r="W43" s="69"/>
      <c r="X43" s="69"/>
      <c r="Y43" s="47"/>
      <c r="Z43" s="51"/>
      <c r="AA43" s="97"/>
      <c r="AB43" s="772"/>
      <c r="AC43" s="770"/>
      <c r="AD43" s="770"/>
      <c r="AE43" s="1048"/>
      <c r="AF43" s="1048"/>
      <c r="AG43" s="47"/>
      <c r="AH43" s="51"/>
      <c r="AI43" s="52"/>
      <c r="AJ43" s="95"/>
      <c r="AK43" s="556"/>
      <c r="AL43" s="753"/>
      <c r="AM43" s="753"/>
      <c r="AN43" s="754"/>
      <c r="AO43" s="755"/>
      <c r="AP43" s="786"/>
      <c r="AQ43" s="786"/>
      <c r="AR43" s="786"/>
      <c r="AS43" s="786"/>
      <c r="AT43" s="786"/>
      <c r="AU43" s="786"/>
      <c r="AV43" s="786"/>
      <c r="AW43" s="786"/>
      <c r="AY43" s="756"/>
      <c r="BN43" s="757"/>
      <c r="BO43" s="758"/>
      <c r="BP43" s="758"/>
      <c r="BQ43" s="758"/>
      <c r="BR43" s="758"/>
      <c r="BS43" s="758"/>
      <c r="BT43" s="758"/>
      <c r="BU43" s="758"/>
      <c r="BV43" s="758"/>
      <c r="BW43" s="758"/>
      <c r="BX43" s="758"/>
      <c r="BY43" s="758"/>
      <c r="BZ43" s="758"/>
      <c r="CA43" s="758"/>
      <c r="CB43" s="758"/>
      <c r="CC43" s="758"/>
      <c r="CD43" s="758"/>
      <c r="CE43" s="756"/>
      <c r="CT43" s="760"/>
    </row>
    <row r="44" spans="1:98" s="751" customFormat="1" ht="13.2" customHeight="1">
      <c r="A44" s="747" t="s">
        <v>175</v>
      </c>
      <c r="B44" s="748" t="s">
        <v>417</v>
      </c>
      <c r="C44" s="749"/>
      <c r="D44" s="750"/>
      <c r="E44" s="749"/>
      <c r="F44" s="749"/>
      <c r="G44" s="749"/>
      <c r="H44" s="749"/>
      <c r="I44" s="749"/>
      <c r="J44" s="749"/>
      <c r="K44" s="749"/>
      <c r="L44" s="749"/>
      <c r="M44" s="749"/>
      <c r="N44" s="749"/>
      <c r="O44" s="749"/>
      <c r="P44" s="749"/>
      <c r="Q44" s="749"/>
      <c r="R44" s="749"/>
      <c r="S44" s="749"/>
      <c r="T44" s="749"/>
      <c r="U44" s="749"/>
      <c r="V44" s="749"/>
      <c r="W44" s="749"/>
      <c r="X44" s="749"/>
      <c r="Y44" s="749"/>
      <c r="Z44" s="1163"/>
      <c r="AH44" s="752"/>
      <c r="AI44" s="749"/>
      <c r="AJ44" s="749"/>
      <c r="AK44" s="749"/>
      <c r="AL44" s="749"/>
      <c r="AM44" s="753"/>
      <c r="AN44" s="754"/>
      <c r="AO44" s="755"/>
      <c r="AP44" s="755"/>
      <c r="AQ44" s="755"/>
      <c r="AR44" s="755"/>
      <c r="AS44" s="755"/>
      <c r="AT44" s="755"/>
      <c r="AU44" s="755"/>
      <c r="AV44" s="755"/>
      <c r="AW44" s="755"/>
      <c r="AY44" s="756"/>
      <c r="AZ44" s="749"/>
      <c r="BA44" s="749"/>
      <c r="BB44" s="749"/>
      <c r="BC44" s="749"/>
      <c r="BD44" s="749"/>
      <c r="BE44" s="749"/>
      <c r="BF44" s="749"/>
      <c r="BG44" s="749"/>
      <c r="BH44" s="749"/>
      <c r="BI44" s="749"/>
      <c r="BJ44" s="749"/>
      <c r="BK44" s="749"/>
      <c r="BL44" s="749"/>
      <c r="BM44" s="749"/>
      <c r="BN44" s="757"/>
      <c r="BO44" s="758"/>
      <c r="BP44" s="749"/>
      <c r="BQ44" s="749"/>
      <c r="BR44" s="749"/>
      <c r="BS44" s="749"/>
      <c r="BT44" s="749"/>
      <c r="BU44" s="749"/>
      <c r="BV44" s="749"/>
      <c r="BW44" s="749"/>
      <c r="BX44" s="749"/>
      <c r="BY44" s="749"/>
      <c r="BZ44" s="749"/>
      <c r="CA44" s="749"/>
      <c r="CB44" s="749"/>
      <c r="CC44" s="749"/>
      <c r="CD44" s="758"/>
      <c r="CE44" s="756"/>
      <c r="CF44" s="759"/>
      <c r="CG44" s="759"/>
      <c r="CH44" s="759"/>
      <c r="CI44" s="759"/>
      <c r="CJ44" s="759"/>
      <c r="CK44" s="759"/>
      <c r="CL44" s="759"/>
      <c r="CM44" s="759"/>
      <c r="CN44" s="759"/>
      <c r="CO44" s="759"/>
      <c r="CP44" s="759"/>
      <c r="CQ44" s="759"/>
      <c r="CR44" s="759"/>
      <c r="CT44" s="760"/>
    </row>
    <row r="45" spans="1:98" s="751" customFormat="1" ht="13.2" customHeight="1">
      <c r="A45" s="747"/>
      <c r="B45" s="761"/>
      <c r="C45" s="753"/>
      <c r="D45" s="750"/>
      <c r="E45" s="749"/>
      <c r="F45" s="749"/>
      <c r="G45" s="749"/>
      <c r="H45" s="749"/>
      <c r="I45" s="749"/>
      <c r="J45" s="749"/>
      <c r="K45" s="749"/>
      <c r="L45" s="749"/>
      <c r="M45" s="749"/>
      <c r="N45" s="749"/>
      <c r="O45" s="749"/>
      <c r="P45" s="749"/>
      <c r="Q45" s="749"/>
      <c r="R45" s="749"/>
      <c r="S45" s="749"/>
      <c r="T45" s="749"/>
      <c r="U45" s="749"/>
      <c r="V45" s="749"/>
      <c r="W45" s="749"/>
      <c r="X45" s="749"/>
      <c r="Y45" s="749"/>
      <c r="Z45" s="1163"/>
      <c r="AH45" s="752"/>
      <c r="AI45" s="749"/>
      <c r="AJ45" s="749"/>
      <c r="AK45" s="749"/>
      <c r="AL45" s="749"/>
      <c r="AM45" s="753"/>
      <c r="AN45" s="754"/>
      <c r="AO45" s="755"/>
      <c r="AP45" s="755"/>
      <c r="AQ45" s="755"/>
      <c r="AR45" s="755"/>
      <c r="AS45" s="755"/>
      <c r="AT45" s="755"/>
      <c r="AU45" s="755"/>
      <c r="AV45" s="755"/>
      <c r="AW45" s="755"/>
      <c r="AY45" s="756"/>
      <c r="AZ45" s="749"/>
      <c r="BA45" s="749"/>
      <c r="BB45" s="749"/>
      <c r="BC45" s="749"/>
      <c r="BD45" s="749"/>
      <c r="BE45" s="749"/>
      <c r="BF45" s="749"/>
      <c r="BG45" s="749"/>
      <c r="BH45" s="749"/>
      <c r="BI45" s="749"/>
      <c r="BJ45" s="749"/>
      <c r="BK45" s="749"/>
      <c r="BL45" s="749"/>
      <c r="BM45" s="749"/>
      <c r="BN45" s="757"/>
      <c r="BO45" s="758"/>
      <c r="BP45" s="749"/>
      <c r="BQ45" s="749"/>
      <c r="BR45" s="749"/>
      <c r="BS45" s="749"/>
      <c r="BT45" s="749"/>
      <c r="BU45" s="749"/>
      <c r="BV45" s="749"/>
      <c r="BW45" s="749"/>
      <c r="BX45" s="749"/>
      <c r="BY45" s="749"/>
      <c r="BZ45" s="749"/>
      <c r="CA45" s="749"/>
      <c r="CB45" s="749"/>
      <c r="CC45" s="749"/>
      <c r="CD45" s="758"/>
      <c r="CE45" s="756"/>
      <c r="CF45" s="759"/>
      <c r="CG45" s="759"/>
      <c r="CH45" s="759"/>
      <c r="CI45" s="759"/>
      <c r="CJ45" s="759"/>
      <c r="CK45" s="759"/>
      <c r="CL45" s="759"/>
      <c r="CM45" s="759"/>
      <c r="CN45" s="759"/>
      <c r="CO45" s="759"/>
      <c r="CP45" s="759"/>
      <c r="CQ45" s="759"/>
      <c r="CR45" s="759"/>
      <c r="CT45" s="760"/>
    </row>
    <row r="46" spans="1:98" s="751" customFormat="1" ht="13.2" customHeight="1">
      <c r="A46" s="747"/>
      <c r="B46" s="761"/>
      <c r="C46" s="753"/>
      <c r="D46" s="750"/>
      <c r="E46" s="749"/>
      <c r="F46" s="749"/>
      <c r="G46" s="749"/>
      <c r="H46" s="749"/>
      <c r="I46" s="749"/>
      <c r="J46" s="749"/>
      <c r="K46" s="749"/>
      <c r="L46" s="749"/>
      <c r="M46" s="749"/>
      <c r="N46" s="749"/>
      <c r="O46" s="749"/>
      <c r="P46" s="749"/>
      <c r="Q46" s="749"/>
      <c r="R46" s="749"/>
      <c r="S46" s="749"/>
      <c r="T46" s="749"/>
      <c r="U46" s="749"/>
      <c r="V46" s="749"/>
      <c r="W46" s="749"/>
      <c r="X46" s="749"/>
      <c r="Y46" s="749"/>
      <c r="Z46" s="1163"/>
      <c r="AH46" s="752"/>
      <c r="AI46" s="749"/>
      <c r="AJ46" s="749"/>
      <c r="AK46" s="749"/>
      <c r="AL46" s="749"/>
      <c r="AM46" s="753"/>
      <c r="AN46" s="754"/>
      <c r="AO46" s="755"/>
      <c r="AP46" s="755"/>
      <c r="AQ46" s="755"/>
      <c r="AR46" s="755"/>
      <c r="AS46" s="755"/>
      <c r="AT46" s="755"/>
      <c r="AU46" s="755"/>
      <c r="AV46" s="755"/>
      <c r="AW46" s="755"/>
      <c r="AY46" s="756"/>
      <c r="AZ46" s="749"/>
      <c r="BA46" s="749"/>
      <c r="BB46" s="749"/>
      <c r="BC46" s="749"/>
      <c r="BD46" s="749"/>
      <c r="BE46" s="749"/>
      <c r="BF46" s="749"/>
      <c r="BG46" s="749"/>
      <c r="BH46" s="749"/>
      <c r="BI46" s="749"/>
      <c r="BJ46" s="749"/>
      <c r="BK46" s="749"/>
      <c r="BL46" s="749"/>
      <c r="BM46" s="749"/>
      <c r="BN46" s="757"/>
      <c r="BO46" s="758"/>
      <c r="BP46" s="749"/>
      <c r="BQ46" s="749"/>
      <c r="BR46" s="749"/>
      <c r="BS46" s="749"/>
      <c r="BT46" s="749"/>
      <c r="BU46" s="749"/>
      <c r="BV46" s="749"/>
      <c r="BW46" s="749"/>
      <c r="BX46" s="749"/>
      <c r="BY46" s="749"/>
      <c r="BZ46" s="749"/>
      <c r="CA46" s="749"/>
      <c r="CB46" s="749"/>
      <c r="CC46" s="749"/>
      <c r="CD46" s="758"/>
      <c r="CE46" s="756"/>
      <c r="CF46" s="759"/>
      <c r="CG46" s="759"/>
      <c r="CH46" s="759"/>
      <c r="CI46" s="759"/>
      <c r="CJ46" s="759"/>
      <c r="CK46" s="759"/>
      <c r="CL46" s="759"/>
      <c r="CM46" s="759"/>
      <c r="CN46" s="759"/>
      <c r="CO46" s="759"/>
      <c r="CP46" s="759"/>
      <c r="CQ46" s="759"/>
      <c r="CR46" s="759"/>
      <c r="CT46" s="760"/>
    </row>
    <row r="47" spans="1:98" s="751" customFormat="1" ht="13.2" customHeight="1">
      <c r="A47" s="747"/>
      <c r="B47" s="761"/>
      <c r="C47" s="753"/>
      <c r="D47" s="750"/>
      <c r="E47" s="749"/>
      <c r="F47" s="749"/>
      <c r="G47" s="749"/>
      <c r="H47" s="749"/>
      <c r="I47" s="749"/>
      <c r="J47" s="749"/>
      <c r="K47" s="749"/>
      <c r="L47" s="749"/>
      <c r="M47" s="749"/>
      <c r="N47" s="749"/>
      <c r="O47" s="749"/>
      <c r="P47" s="749"/>
      <c r="Q47" s="749"/>
      <c r="R47" s="749"/>
      <c r="S47" s="749"/>
      <c r="T47" s="749"/>
      <c r="U47" s="749"/>
      <c r="V47" s="749"/>
      <c r="W47" s="749"/>
      <c r="X47" s="749"/>
      <c r="Y47" s="749"/>
      <c r="Z47" s="1163"/>
      <c r="AH47" s="752"/>
      <c r="AI47" s="749"/>
      <c r="AJ47" s="749"/>
      <c r="AK47" s="749"/>
      <c r="AL47" s="749"/>
      <c r="AM47" s="753"/>
      <c r="AN47" s="754"/>
      <c r="AO47" s="755"/>
      <c r="AP47" s="755"/>
      <c r="AQ47" s="755"/>
      <c r="AR47" s="755"/>
      <c r="AS47" s="755"/>
      <c r="AT47" s="755"/>
      <c r="AU47" s="755"/>
      <c r="AV47" s="755"/>
      <c r="AW47" s="755"/>
      <c r="AY47" s="756"/>
      <c r="AZ47" s="749"/>
      <c r="BA47" s="749"/>
      <c r="BB47" s="749"/>
      <c r="BC47" s="749"/>
      <c r="BD47" s="749"/>
      <c r="BE47" s="749"/>
      <c r="BF47" s="749"/>
      <c r="BG47" s="749"/>
      <c r="BH47" s="749"/>
      <c r="BI47" s="749"/>
      <c r="BJ47" s="749"/>
      <c r="BK47" s="749"/>
      <c r="BL47" s="749"/>
      <c r="BM47" s="749"/>
      <c r="BN47" s="757"/>
      <c r="BO47" s="758"/>
      <c r="BP47" s="749"/>
      <c r="BQ47" s="749"/>
      <c r="BR47" s="749"/>
      <c r="BS47" s="749"/>
      <c r="BT47" s="749"/>
      <c r="BU47" s="749"/>
      <c r="BV47" s="749"/>
      <c r="BW47" s="749"/>
      <c r="BX47" s="749"/>
      <c r="BY47" s="749"/>
      <c r="BZ47" s="749"/>
      <c r="CA47" s="749"/>
      <c r="CB47" s="749"/>
      <c r="CC47" s="749"/>
      <c r="CD47" s="758"/>
      <c r="CE47" s="756"/>
      <c r="CF47" s="759"/>
      <c r="CG47" s="759"/>
      <c r="CH47" s="759"/>
      <c r="CI47" s="759"/>
      <c r="CJ47" s="759"/>
      <c r="CK47" s="759"/>
      <c r="CL47" s="759"/>
      <c r="CM47" s="759"/>
      <c r="CN47" s="759"/>
      <c r="CO47" s="759"/>
      <c r="CP47" s="759"/>
      <c r="CQ47" s="759"/>
      <c r="CR47" s="759"/>
      <c r="CT47" s="760"/>
    </row>
    <row r="48" spans="1:98" s="751" customFormat="1">
      <c r="A48" s="747"/>
      <c r="B48" s="753"/>
      <c r="C48" s="762"/>
      <c r="D48" s="763"/>
      <c r="E48" s="759"/>
      <c r="F48" s="759"/>
      <c r="G48" s="759"/>
      <c r="H48" s="759"/>
      <c r="I48" s="759"/>
      <c r="J48" s="759"/>
      <c r="K48" s="759"/>
      <c r="L48" s="759"/>
      <c r="M48" s="759"/>
      <c r="N48" s="759"/>
      <c r="O48" s="759"/>
      <c r="P48" s="759"/>
      <c r="Q48" s="759"/>
      <c r="R48" s="759"/>
      <c r="S48" s="759"/>
      <c r="T48" s="759"/>
      <c r="U48" s="759"/>
      <c r="V48" s="759"/>
      <c r="W48" s="759"/>
      <c r="X48" s="759"/>
      <c r="Y48" s="759"/>
      <c r="Z48" s="1164"/>
      <c r="AH48" s="764"/>
      <c r="AI48" s="749"/>
      <c r="AJ48" s="749"/>
      <c r="AK48" s="749"/>
      <c r="AL48" s="749"/>
      <c r="AM48" s="753"/>
      <c r="AN48" s="754"/>
      <c r="AO48" s="755"/>
      <c r="AP48" s="755"/>
      <c r="AQ48" s="755"/>
      <c r="AR48" s="755"/>
      <c r="AS48" s="755"/>
      <c r="AT48" s="755"/>
      <c r="AU48" s="755"/>
      <c r="AV48" s="755"/>
      <c r="AW48" s="755"/>
      <c r="AY48" s="756"/>
      <c r="AZ48" s="759"/>
      <c r="BA48" s="759"/>
      <c r="BB48" s="759"/>
      <c r="BC48" s="759"/>
      <c r="BD48" s="759"/>
      <c r="BE48" s="759"/>
      <c r="BF48" s="759"/>
      <c r="BG48" s="759"/>
      <c r="BH48" s="759"/>
      <c r="BI48" s="759"/>
      <c r="BJ48" s="759"/>
      <c r="BK48" s="759"/>
      <c r="BL48" s="759"/>
      <c r="BM48" s="759"/>
      <c r="BN48" s="757"/>
      <c r="BO48" s="758"/>
      <c r="BP48" s="759"/>
      <c r="BQ48" s="759"/>
      <c r="BR48" s="759"/>
      <c r="BS48" s="759"/>
      <c r="BT48" s="759"/>
      <c r="BU48" s="759"/>
      <c r="BV48" s="759"/>
      <c r="BW48" s="759"/>
      <c r="BX48" s="759"/>
      <c r="BY48" s="759"/>
      <c r="BZ48" s="759"/>
      <c r="CA48" s="759"/>
      <c r="CB48" s="759"/>
      <c r="CC48" s="759"/>
      <c r="CD48" s="758"/>
      <c r="CE48" s="756"/>
      <c r="CF48" s="759"/>
      <c r="CG48" s="759"/>
      <c r="CH48" s="759"/>
      <c r="CI48" s="759"/>
      <c r="CJ48" s="759"/>
      <c r="CK48" s="759"/>
      <c r="CL48" s="759"/>
      <c r="CM48" s="759"/>
      <c r="CN48" s="759"/>
      <c r="CO48" s="759"/>
      <c r="CP48" s="759"/>
      <c r="CQ48" s="759"/>
      <c r="CR48" s="759"/>
      <c r="CT48" s="760"/>
    </row>
    <row r="49" spans="1:98" s="751" customFormat="1">
      <c r="A49" s="747"/>
      <c r="B49" s="753"/>
      <c r="C49" s="762"/>
      <c r="D49" s="763"/>
      <c r="E49" s="759"/>
      <c r="F49" s="759"/>
      <c r="G49" s="759"/>
      <c r="H49" s="759"/>
      <c r="I49" s="759"/>
      <c r="J49" s="759"/>
      <c r="K49" s="759"/>
      <c r="L49" s="759"/>
      <c r="M49" s="759"/>
      <c r="N49" s="759"/>
      <c r="O49" s="759"/>
      <c r="P49" s="759"/>
      <c r="Q49" s="759"/>
      <c r="R49" s="759"/>
      <c r="S49" s="759"/>
      <c r="T49" s="759"/>
      <c r="U49" s="759"/>
      <c r="V49" s="759"/>
      <c r="W49" s="759"/>
      <c r="X49" s="759"/>
      <c r="Y49" s="759"/>
      <c r="Z49" s="1164"/>
      <c r="AH49" s="764"/>
      <c r="AI49" s="749"/>
      <c r="AJ49" s="749"/>
      <c r="AK49" s="749"/>
      <c r="AL49" s="749"/>
      <c r="AM49" s="753"/>
      <c r="AN49" s="754"/>
      <c r="AO49" s="755"/>
      <c r="AP49" s="755"/>
      <c r="AQ49" s="755"/>
      <c r="AR49" s="755"/>
      <c r="AS49" s="755"/>
      <c r="AT49" s="755"/>
      <c r="AU49" s="755"/>
      <c r="AV49" s="755"/>
      <c r="AW49" s="755"/>
      <c r="AY49" s="756"/>
      <c r="AZ49" s="759"/>
      <c r="BA49" s="759"/>
      <c r="BB49" s="759"/>
      <c r="BC49" s="759"/>
      <c r="BD49" s="759"/>
      <c r="BE49" s="759"/>
      <c r="BF49" s="759"/>
      <c r="BG49" s="759"/>
      <c r="BH49" s="759"/>
      <c r="BI49" s="759"/>
      <c r="BJ49" s="759"/>
      <c r="BK49" s="759"/>
      <c r="BL49" s="759"/>
      <c r="BM49" s="759"/>
      <c r="BN49" s="757"/>
      <c r="BO49" s="758"/>
      <c r="BP49" s="759"/>
      <c r="BQ49" s="759"/>
      <c r="BR49" s="759"/>
      <c r="BS49" s="759"/>
      <c r="BT49" s="759"/>
      <c r="BU49" s="759"/>
      <c r="BV49" s="759"/>
      <c r="BW49" s="759"/>
      <c r="BX49" s="759"/>
      <c r="BY49" s="759"/>
      <c r="BZ49" s="759"/>
      <c r="CA49" s="759"/>
      <c r="CB49" s="759"/>
      <c r="CC49" s="759"/>
      <c r="CD49" s="758"/>
      <c r="CE49" s="756"/>
      <c r="CF49" s="759"/>
      <c r="CG49" s="759"/>
      <c r="CH49" s="759"/>
      <c r="CI49" s="759"/>
      <c r="CJ49" s="759"/>
      <c r="CK49" s="759"/>
      <c r="CL49" s="759"/>
      <c r="CM49" s="759"/>
      <c r="CN49" s="759"/>
      <c r="CO49" s="759"/>
      <c r="CP49" s="759"/>
      <c r="CQ49" s="759"/>
      <c r="CR49" s="759"/>
      <c r="CT49" s="760"/>
    </row>
    <row r="50" spans="1:98" s="751" customFormat="1">
      <c r="A50" s="747"/>
      <c r="B50" s="753"/>
      <c r="C50" s="762"/>
      <c r="D50" s="763"/>
      <c r="E50" s="759"/>
      <c r="F50" s="759"/>
      <c r="G50" s="759"/>
      <c r="H50" s="759"/>
      <c r="I50" s="759"/>
      <c r="J50" s="759"/>
      <c r="K50" s="759"/>
      <c r="L50" s="759"/>
      <c r="M50" s="759"/>
      <c r="N50" s="759"/>
      <c r="O50" s="759"/>
      <c r="P50" s="759"/>
      <c r="Q50" s="759"/>
      <c r="R50" s="759"/>
      <c r="S50" s="759"/>
      <c r="T50" s="759"/>
      <c r="U50" s="759"/>
      <c r="V50" s="759"/>
      <c r="W50" s="759"/>
      <c r="X50" s="759"/>
      <c r="Y50" s="759"/>
      <c r="Z50" s="1164"/>
      <c r="AH50" s="764"/>
      <c r="AI50" s="749"/>
      <c r="AJ50" s="749"/>
      <c r="AK50" s="749"/>
      <c r="AL50" s="749"/>
      <c r="AM50" s="753"/>
      <c r="AN50" s="754"/>
      <c r="AO50" s="755"/>
      <c r="AP50" s="755"/>
      <c r="AQ50" s="755"/>
      <c r="AR50" s="755"/>
      <c r="AS50" s="755"/>
      <c r="AT50" s="755"/>
      <c r="AU50" s="755"/>
      <c r="AV50" s="755"/>
      <c r="AW50" s="755"/>
      <c r="AY50" s="756"/>
      <c r="AZ50" s="759"/>
      <c r="BA50" s="759"/>
      <c r="BB50" s="759"/>
      <c r="BC50" s="759"/>
      <c r="BD50" s="759"/>
      <c r="BE50" s="759"/>
      <c r="BF50" s="759"/>
      <c r="BG50" s="759"/>
      <c r="BH50" s="759"/>
      <c r="BI50" s="759"/>
      <c r="BJ50" s="759"/>
      <c r="BK50" s="759"/>
      <c r="BL50" s="759"/>
      <c r="BM50" s="759"/>
      <c r="BN50" s="757"/>
      <c r="BO50" s="758"/>
      <c r="BP50" s="759"/>
      <c r="BQ50" s="759"/>
      <c r="BR50" s="759"/>
      <c r="BS50" s="759"/>
      <c r="BT50" s="759"/>
      <c r="BU50" s="759"/>
      <c r="BV50" s="759"/>
      <c r="BW50" s="759"/>
      <c r="BX50" s="759"/>
      <c r="BY50" s="759"/>
      <c r="BZ50" s="759"/>
      <c r="CA50" s="759"/>
      <c r="CB50" s="759"/>
      <c r="CC50" s="759"/>
      <c r="CD50" s="758"/>
      <c r="CE50" s="756"/>
      <c r="CF50" s="759"/>
      <c r="CG50" s="759"/>
      <c r="CH50" s="759"/>
      <c r="CI50" s="759"/>
      <c r="CJ50" s="759"/>
      <c r="CK50" s="759"/>
      <c r="CL50" s="759"/>
      <c r="CM50" s="759"/>
      <c r="CN50" s="759"/>
      <c r="CO50" s="759"/>
      <c r="CP50" s="759"/>
      <c r="CQ50" s="759"/>
      <c r="CR50" s="759"/>
      <c r="CT50" s="760"/>
    </row>
    <row r="51" spans="1:98" s="113" customFormat="1">
      <c r="A51" s="232"/>
      <c r="B51" s="552"/>
      <c r="C51" s="116"/>
      <c r="D51" s="366"/>
      <c r="AH51" s="208"/>
      <c r="AI51" s="105"/>
      <c r="AJ51" s="124"/>
      <c r="AK51" s="124"/>
      <c r="AL51" s="124"/>
      <c r="AM51" s="124"/>
      <c r="AN51" s="447"/>
      <c r="AO51" s="755"/>
      <c r="AP51" s="755"/>
      <c r="AQ51" s="755"/>
      <c r="AR51" s="755"/>
      <c r="AS51" s="755"/>
      <c r="AT51" s="755"/>
      <c r="AU51" s="755"/>
      <c r="AV51" s="755"/>
      <c r="AW51" s="755"/>
      <c r="AX51" s="751"/>
      <c r="AY51" s="756"/>
      <c r="AZ51" s="523"/>
      <c r="BA51" s="523"/>
      <c r="BB51" s="523"/>
      <c r="BC51" s="523"/>
      <c r="BD51" s="523"/>
      <c r="BE51" s="523"/>
      <c r="BF51" s="523"/>
      <c r="BG51" s="523"/>
      <c r="BH51" s="523"/>
      <c r="BI51" s="523"/>
      <c r="BJ51" s="523"/>
      <c r="BK51" s="523"/>
      <c r="BL51" s="523"/>
      <c r="BM51" s="523"/>
      <c r="BO51" s="358"/>
      <c r="BP51" s="523"/>
      <c r="BQ51" s="523"/>
      <c r="BR51" s="523"/>
      <c r="BS51" s="523"/>
      <c r="BT51" s="523"/>
      <c r="BU51" s="523"/>
      <c r="BV51" s="523"/>
      <c r="BW51" s="523"/>
      <c r="BX51" s="523"/>
      <c r="BY51" s="523"/>
      <c r="BZ51" s="523"/>
      <c r="CA51" s="523"/>
      <c r="CB51" s="523"/>
      <c r="CC51" s="523"/>
      <c r="CD51" s="523"/>
      <c r="CE51" s="378"/>
      <c r="CT51" s="366"/>
    </row>
    <row r="52" spans="1:98" s="652" customFormat="1">
      <c r="A52" s="650"/>
      <c r="B52" s="660" t="s">
        <v>488</v>
      </c>
      <c r="C52" s="661"/>
      <c r="D52" s="651" t="s">
        <v>514</v>
      </c>
      <c r="AH52" s="653"/>
      <c r="AI52" s="654"/>
      <c r="AJ52" s="655"/>
      <c r="AK52" s="655"/>
      <c r="AL52" s="655"/>
      <c r="AM52" s="655"/>
      <c r="AN52" s="656"/>
      <c r="AO52" s="905"/>
      <c r="AP52" s="905"/>
      <c r="AQ52" s="905"/>
      <c r="AR52" s="905"/>
      <c r="AS52" s="905"/>
      <c r="AT52" s="905"/>
      <c r="AU52" s="905"/>
      <c r="AV52" s="905"/>
      <c r="AW52" s="905"/>
      <c r="AX52" s="906"/>
      <c r="AY52" s="907"/>
      <c r="AZ52" s="908"/>
      <c r="BA52" s="908"/>
      <c r="BB52" s="658"/>
      <c r="BC52" s="658"/>
      <c r="BD52" s="658"/>
      <c r="BE52" s="658"/>
      <c r="BF52" s="658"/>
      <c r="BG52" s="658"/>
      <c r="BH52" s="658"/>
      <c r="BI52" s="658"/>
      <c r="BJ52" s="658"/>
      <c r="BK52" s="658"/>
      <c r="BL52" s="658"/>
      <c r="BM52" s="658"/>
      <c r="BO52" s="659"/>
      <c r="BP52" s="658"/>
      <c r="BQ52" s="658"/>
      <c r="BR52" s="658"/>
      <c r="BS52" s="658"/>
      <c r="BT52" s="658"/>
      <c r="BU52" s="658"/>
      <c r="BV52" s="658"/>
      <c r="BW52" s="658"/>
      <c r="BX52" s="658"/>
      <c r="BY52" s="658"/>
      <c r="BZ52" s="658"/>
      <c r="CA52" s="658"/>
      <c r="CB52" s="658"/>
      <c r="CC52" s="658"/>
      <c r="CD52" s="658"/>
      <c r="CE52" s="657"/>
      <c r="CT52" s="651"/>
    </row>
    <row r="53" spans="1:98">
      <c r="B53" s="160"/>
      <c r="C53" s="87"/>
      <c r="D53" s="351"/>
      <c r="E53" s="48"/>
      <c r="F53" s="48"/>
      <c r="G53" s="48"/>
      <c r="H53" s="158"/>
      <c r="I53" s="159"/>
      <c r="J53" s="48"/>
      <c r="K53" s="48"/>
      <c r="L53" s="48"/>
      <c r="M53" s="48"/>
      <c r="N53" s="48"/>
      <c r="T53" s="69"/>
      <c r="U53" s="69"/>
      <c r="V53" s="69"/>
      <c r="Y53" s="69"/>
      <c r="Z53" s="69"/>
      <c r="AB53" s="114"/>
      <c r="AC53" s="115"/>
      <c r="AD53" s="115"/>
      <c r="AH53" s="69"/>
      <c r="AO53" s="787"/>
      <c r="AP53" s="787"/>
      <c r="AQ53" s="787"/>
      <c r="AR53" s="787"/>
      <c r="AS53" s="787"/>
      <c r="AT53" s="787"/>
      <c r="AU53" s="787"/>
      <c r="AV53" s="787"/>
      <c r="AW53" s="787"/>
      <c r="AX53" s="787"/>
      <c r="AY53" s="904"/>
      <c r="AZ53" s="787"/>
      <c r="BA53" s="787"/>
    </row>
    <row r="54" spans="1:98" ht="13.8" thickBot="1">
      <c r="B54" s="165" t="s">
        <v>181</v>
      </c>
      <c r="C54" s="166"/>
      <c r="D54" s="166"/>
      <c r="E54" s="166"/>
      <c r="F54" s="166"/>
      <c r="G54" s="166"/>
      <c r="H54" s="166"/>
      <c r="I54" s="166"/>
      <c r="J54" s="166"/>
      <c r="K54" s="166"/>
      <c r="L54" s="166"/>
      <c r="M54" s="166"/>
      <c r="N54" s="166"/>
      <c r="O54" s="166"/>
      <c r="P54" s="166"/>
      <c r="Q54" s="167"/>
      <c r="R54" s="167"/>
      <c r="T54" s="203"/>
      <c r="U54" s="202" t="s">
        <v>3</v>
      </c>
      <c r="V54" s="203"/>
      <c r="W54" s="203"/>
      <c r="X54" s="202" t="s">
        <v>2</v>
      </c>
      <c r="Y54" s="203"/>
      <c r="Z54" s="203"/>
      <c r="AA54" s="202"/>
      <c r="AB54" s="202" t="s">
        <v>3</v>
      </c>
      <c r="AC54" s="203"/>
      <c r="AD54" s="203"/>
      <c r="AE54" s="202" t="s">
        <v>2</v>
      </c>
      <c r="AF54" s="203"/>
      <c r="AG54" s="203"/>
      <c r="AO54" s="787"/>
      <c r="AP54" s="787"/>
      <c r="AQ54" s="787"/>
      <c r="AR54" s="787"/>
      <c r="AS54" s="787"/>
      <c r="AT54" s="787"/>
      <c r="AU54" s="787"/>
      <c r="AV54" s="787"/>
      <c r="AW54" s="787"/>
      <c r="AX54" s="787"/>
      <c r="AY54" s="904"/>
      <c r="AZ54" s="787"/>
      <c r="BA54" s="909"/>
      <c r="BB54" s="202"/>
      <c r="BC54" s="203" t="s">
        <v>259</v>
      </c>
      <c r="BD54" s="203" t="s">
        <v>259</v>
      </c>
      <c r="BE54" s="41"/>
      <c r="BR54" s="203"/>
      <c r="BS54" s="207" t="s">
        <v>20</v>
      </c>
      <c r="BT54" s="203" t="s">
        <v>20</v>
      </c>
      <c r="BU54" s="41"/>
      <c r="CH54" s="207" t="s">
        <v>20</v>
      </c>
      <c r="CI54" s="327" t="s">
        <v>259</v>
      </c>
      <c r="CJ54" s="361" t="s">
        <v>272</v>
      </c>
    </row>
    <row r="55" spans="1:98">
      <c r="B55" s="210" t="s">
        <v>132</v>
      </c>
      <c r="C55" s="187"/>
      <c r="D55" s="1201">
        <v>5.385479123784064</v>
      </c>
      <c r="E55" s="685"/>
      <c r="F55" s="685"/>
      <c r="G55" s="685"/>
      <c r="H55" s="685"/>
      <c r="I55" s="685"/>
      <c r="J55" s="685"/>
      <c r="K55" s="685"/>
      <c r="L55" s="685"/>
      <c r="M55" s="685"/>
      <c r="N55" s="685"/>
      <c r="O55" s="685"/>
      <c r="P55" s="685"/>
      <c r="Q55" s="686"/>
      <c r="R55" s="166"/>
      <c r="T55" s="203"/>
      <c r="U55" s="203" t="s">
        <v>75</v>
      </c>
      <c r="V55" s="204" t="s">
        <v>21</v>
      </c>
      <c r="W55" s="203" t="s">
        <v>5</v>
      </c>
      <c r="X55" s="202" t="s">
        <v>25</v>
      </c>
      <c r="Y55" s="205" t="s">
        <v>21</v>
      </c>
      <c r="Z55" s="202" t="s">
        <v>5</v>
      </c>
      <c r="AA55" s="782"/>
      <c r="AB55" s="773" t="s">
        <v>75</v>
      </c>
      <c r="AC55" s="773" t="s">
        <v>21</v>
      </c>
      <c r="AD55" s="773" t="s">
        <v>5</v>
      </c>
      <c r="AE55" s="782" t="s">
        <v>25</v>
      </c>
      <c r="AF55" s="782" t="s">
        <v>21</v>
      </c>
      <c r="AG55" s="202" t="s">
        <v>5</v>
      </c>
      <c r="AO55" s="787"/>
      <c r="AP55" s="787"/>
      <c r="AQ55" s="787"/>
      <c r="AR55" s="787"/>
      <c r="AS55" s="787"/>
      <c r="AT55" s="787"/>
      <c r="AU55" s="787"/>
      <c r="AV55" s="787"/>
      <c r="AW55" s="886"/>
      <c r="AX55" s="787"/>
      <c r="AY55" s="904"/>
      <c r="AZ55" s="787"/>
      <c r="BA55" s="910" t="s">
        <v>247</v>
      </c>
      <c r="BB55" s="332">
        <f>$AQ$8</f>
        <v>41250</v>
      </c>
      <c r="BC55" s="330">
        <f>BD55</f>
        <v>5.3999999999999999E-2</v>
      </c>
      <c r="BD55" s="333">
        <f>$AR$8</f>
        <v>5.3999999999999999E-2</v>
      </c>
      <c r="BE55" s="330"/>
      <c r="BQ55" s="327" t="s">
        <v>247</v>
      </c>
      <c r="BR55" s="331">
        <f>$AW$8</f>
        <v>41107</v>
      </c>
      <c r="BS55" s="333">
        <f>BT55</f>
        <v>6.2899999999999998E-2</v>
      </c>
      <c r="BT55" s="330">
        <f>$AV$8</f>
        <v>6.2899999999999998E-2</v>
      </c>
      <c r="BU55" s="330"/>
      <c r="CG55" s="327" t="s">
        <v>256</v>
      </c>
      <c r="CH55" s="333">
        <f t="shared" ref="CH55:CH59" si="34">VLOOKUP(CG55,$BQ$55:$BS$69,3,FALSE)</f>
        <v>0.111</v>
      </c>
      <c r="CI55" s="333">
        <f t="shared" ref="CI55:CI59" si="35">VLOOKUP(CG55,$BA$55:$BC$72,3,FALSE)</f>
        <v>0.11700000000000001</v>
      </c>
      <c r="CJ55" s="330">
        <f t="shared" ref="CJ55:CJ59" si="36">CH55-CI55</f>
        <v>-6.0000000000000053E-3</v>
      </c>
    </row>
    <row r="56" spans="1:98">
      <c r="B56" s="211" t="s">
        <v>0</v>
      </c>
      <c r="C56" s="189"/>
      <c r="D56" s="147" t="s">
        <v>151</v>
      </c>
      <c r="E56" s="117" t="s">
        <v>152</v>
      </c>
      <c r="F56" s="118" t="s">
        <v>153</v>
      </c>
      <c r="G56" s="119" t="s">
        <v>154</v>
      </c>
      <c r="H56" s="118" t="s">
        <v>155</v>
      </c>
      <c r="I56" s="118" t="s">
        <v>156</v>
      </c>
      <c r="J56" s="119" t="s">
        <v>157</v>
      </c>
      <c r="K56" s="118" t="s">
        <v>158</v>
      </c>
      <c r="L56" s="120" t="s">
        <v>159</v>
      </c>
      <c r="M56" s="118" t="s">
        <v>160</v>
      </c>
      <c r="N56" s="118" t="s">
        <v>161</v>
      </c>
      <c r="O56" s="118" t="s">
        <v>162</v>
      </c>
      <c r="P56" s="118" t="s">
        <v>163</v>
      </c>
      <c r="Q56" s="148" t="s">
        <v>164</v>
      </c>
      <c r="R56" s="166"/>
      <c r="T56" s="746" t="s">
        <v>173</v>
      </c>
      <c r="U56" s="125">
        <v>2142</v>
      </c>
      <c r="V56" s="125">
        <v>7685</v>
      </c>
      <c r="W56" s="206">
        <f>U56/V56</f>
        <v>0.27872478854912164</v>
      </c>
      <c r="X56" s="125">
        <v>308.5</v>
      </c>
      <c r="Y56" s="136">
        <v>2636</v>
      </c>
      <c r="Z56" s="206">
        <f>X56/Y56</f>
        <v>0.11703338391502276</v>
      </c>
      <c r="AA56" s="746" t="s">
        <v>173</v>
      </c>
      <c r="AB56" s="773">
        <v>2142</v>
      </c>
      <c r="AC56" s="773">
        <v>7685</v>
      </c>
      <c r="AD56" s="785">
        <f>AB56/AC56</f>
        <v>0.27872478854912164</v>
      </c>
      <c r="AE56" s="782">
        <v>308.5</v>
      </c>
      <c r="AF56" s="782">
        <v>2636</v>
      </c>
      <c r="AG56" s="206">
        <f>AE56/AF56</f>
        <v>0.11703338391502276</v>
      </c>
      <c r="AO56" s="787"/>
      <c r="AP56" s="787"/>
      <c r="AQ56" s="787"/>
      <c r="AR56" s="787"/>
      <c r="AS56" s="787"/>
      <c r="AT56" s="787"/>
      <c r="AU56" s="787"/>
      <c r="AV56" s="787"/>
      <c r="AW56" s="787"/>
      <c r="AX56" s="787"/>
      <c r="AY56" s="904"/>
      <c r="AZ56" s="787"/>
      <c r="BA56" s="752" t="s">
        <v>262</v>
      </c>
      <c r="BB56" s="332">
        <f>$AQ$21</f>
        <v>40878</v>
      </c>
      <c r="BC56" s="330">
        <f>BD56</f>
        <v>5.3999999999999999E-2</v>
      </c>
      <c r="BD56" s="330">
        <f>$AR$21</f>
        <v>5.3999999999999999E-2</v>
      </c>
      <c r="BE56" s="203"/>
      <c r="BQ56" s="327" t="s">
        <v>254</v>
      </c>
      <c r="BR56" s="331">
        <f>$AQ$16</f>
        <v>40983</v>
      </c>
      <c r="BS56" s="333">
        <f>BT56</f>
        <v>6.7000000000000004E-2</v>
      </c>
      <c r="BT56" s="330">
        <f>$AV$16</f>
        <v>6.7000000000000004E-2</v>
      </c>
      <c r="BU56" s="330"/>
      <c r="CG56" s="327" t="s">
        <v>248</v>
      </c>
      <c r="CH56" s="333">
        <f t="shared" si="34"/>
        <v>9.9049999999999999E-2</v>
      </c>
      <c r="CI56" s="333">
        <f t="shared" si="35"/>
        <v>0.1048</v>
      </c>
      <c r="CJ56" s="330">
        <f t="shared" si="36"/>
        <v>-5.7500000000000051E-3</v>
      </c>
    </row>
    <row r="57" spans="1:98">
      <c r="B57" s="246"/>
      <c r="C57" s="188"/>
      <c r="D57" s="149" t="s">
        <v>189</v>
      </c>
      <c r="E57" s="133">
        <v>1.181979226191376</v>
      </c>
      <c r="F57" s="134">
        <v>1.413911391796471</v>
      </c>
      <c r="G57" s="135">
        <v>1.645843557401566</v>
      </c>
      <c r="H57" s="134">
        <v>1.8484545977412687</v>
      </c>
      <c r="I57" s="134">
        <v>2.0510656380809715</v>
      </c>
      <c r="J57" s="135">
        <v>2.2536766784206739</v>
      </c>
      <c r="K57" s="134">
        <v>2.4419961051722674</v>
      </c>
      <c r="L57" s="687">
        <v>2.6303155319238605</v>
      </c>
      <c r="M57" s="134">
        <v>2.7390880160002933</v>
      </c>
      <c r="N57" s="134">
        <v>2.8478605000767261</v>
      </c>
      <c r="O57" s="134">
        <v>2.9566329841531589</v>
      </c>
      <c r="P57" s="134">
        <v>3.0654054682295917</v>
      </c>
      <c r="Q57" s="150">
        <v>3.1741779523060245</v>
      </c>
      <c r="R57" s="166"/>
      <c r="T57" s="746">
        <v>2008</v>
      </c>
      <c r="U57" s="207"/>
      <c r="V57" s="207"/>
      <c r="W57" s="207"/>
      <c r="X57" s="207"/>
      <c r="Y57" s="207"/>
      <c r="Z57" s="207"/>
      <c r="AA57" s="746">
        <v>2008</v>
      </c>
      <c r="AB57" s="773">
        <v>2271</v>
      </c>
      <c r="AC57" s="125">
        <v>9295.6875</v>
      </c>
      <c r="AD57" s="785">
        <f>AB57/AC57</f>
        <v>0.24430683583113136</v>
      </c>
      <c r="AE57" s="782">
        <v>452.5</v>
      </c>
      <c r="AF57" s="136">
        <v>3169.93948</v>
      </c>
      <c r="AG57" s="208">
        <f>AE57/AF57</f>
        <v>0.14274720475105096</v>
      </c>
      <c r="AH57" s="123"/>
      <c r="AO57" s="787"/>
      <c r="AP57" s="787"/>
      <c r="AQ57" s="787"/>
      <c r="AR57" s="787"/>
      <c r="AS57" s="787"/>
      <c r="AT57" s="787"/>
      <c r="AU57" s="787"/>
      <c r="AV57" s="787"/>
      <c r="AW57" s="787"/>
      <c r="AX57" s="787"/>
      <c r="AY57" s="904"/>
      <c r="AZ57" s="787"/>
      <c r="BA57" s="910" t="s">
        <v>254</v>
      </c>
      <c r="BB57" s="331">
        <f>$AQ$16</f>
        <v>40983</v>
      </c>
      <c r="BC57" s="330">
        <f>BD57</f>
        <v>6.2E-2</v>
      </c>
      <c r="BD57" s="330">
        <f>$AR$16</f>
        <v>6.2E-2</v>
      </c>
      <c r="BE57" s="330"/>
      <c r="BQ57" s="327" t="s">
        <v>246</v>
      </c>
      <c r="BR57" s="331">
        <f>$AW$4</f>
        <v>41275</v>
      </c>
      <c r="BS57" s="333">
        <f>BT57</f>
        <v>7.0699999999999999E-2</v>
      </c>
      <c r="BT57" s="330">
        <f>$AV$4</f>
        <v>7.0699999999999999E-2</v>
      </c>
      <c r="BU57" s="330"/>
      <c r="CG57" s="327" t="s">
        <v>246</v>
      </c>
      <c r="CH57" s="333">
        <f t="shared" si="34"/>
        <v>7.0699999999999999E-2</v>
      </c>
      <c r="CI57" s="333">
        <f t="shared" si="35"/>
        <v>7.0699999999999999E-2</v>
      </c>
      <c r="CJ57" s="330">
        <f t="shared" si="36"/>
        <v>0</v>
      </c>
    </row>
    <row r="58" spans="1:98">
      <c r="B58" s="246"/>
      <c r="C58" s="188"/>
      <c r="D58" s="147" t="s">
        <v>135</v>
      </c>
      <c r="E58" s="133">
        <v>0.70602738853503222</v>
      </c>
      <c r="F58" s="134">
        <v>0.93795955414012733</v>
      </c>
      <c r="G58" s="135">
        <v>1.1698917197452223</v>
      </c>
      <c r="H58" s="134">
        <v>1.3725027600849249</v>
      </c>
      <c r="I58" s="134">
        <v>1.5751138004246277</v>
      </c>
      <c r="J58" s="135">
        <v>1.7777248407643302</v>
      </c>
      <c r="K58" s="134">
        <v>1.9660442675159235</v>
      </c>
      <c r="L58" s="248">
        <v>2.1543636942675168</v>
      </c>
      <c r="M58" s="134">
        <v>2.2631361783439496</v>
      </c>
      <c r="N58" s="134">
        <v>2.3719086624203825</v>
      </c>
      <c r="O58" s="134">
        <v>2.4806811464968153</v>
      </c>
      <c r="P58" s="134">
        <v>2.5894536305732481</v>
      </c>
      <c r="Q58" s="150">
        <v>2.6982261146496809</v>
      </c>
      <c r="R58" s="166"/>
      <c r="T58" s="746">
        <v>2007</v>
      </c>
      <c r="U58" s="125">
        <v>2520</v>
      </c>
      <c r="V58" s="125">
        <v>11204.1</v>
      </c>
      <c r="W58" s="206">
        <f>U58/V58</f>
        <v>0.22491766406940317</v>
      </c>
      <c r="X58" s="125">
        <v>768</v>
      </c>
      <c r="Y58" s="136">
        <v>3939.9110000000001</v>
      </c>
      <c r="Z58" s="208">
        <f>X58/Y58</f>
        <v>0.19492826106985664</v>
      </c>
      <c r="AA58" s="1041">
        <v>2007</v>
      </c>
      <c r="AB58" s="773">
        <v>2520</v>
      </c>
      <c r="AC58" s="125">
        <v>11204.1</v>
      </c>
      <c r="AD58" s="785">
        <f>AB58/AC58</f>
        <v>0.22491766406940317</v>
      </c>
      <c r="AE58" s="782">
        <v>768</v>
      </c>
      <c r="AF58" s="136">
        <v>3939.9110000000001</v>
      </c>
      <c r="AG58" s="208">
        <f>AE58/AF58</f>
        <v>0.19492826106985664</v>
      </c>
      <c r="AH58" s="123"/>
      <c r="AO58" s="787"/>
      <c r="AP58" s="787"/>
      <c r="AQ58" s="787"/>
      <c r="AR58" s="787"/>
      <c r="AS58" s="787"/>
      <c r="AT58" s="787"/>
      <c r="AU58" s="787"/>
      <c r="AV58" s="787"/>
      <c r="AW58" s="787"/>
      <c r="AX58" s="787"/>
      <c r="AY58" s="904"/>
      <c r="AZ58" s="787"/>
      <c r="BA58" s="910" t="s">
        <v>255</v>
      </c>
      <c r="BB58" s="331">
        <f>$AQ$17</f>
        <v>41099</v>
      </c>
      <c r="BC58" s="330">
        <f>BD58</f>
        <v>6.9917999999999925E-2</v>
      </c>
      <c r="BD58" s="330">
        <f>$AR$17</f>
        <v>6.9917999999999925E-2</v>
      </c>
      <c r="BE58" s="330"/>
      <c r="BQ58" s="327" t="s">
        <v>249</v>
      </c>
      <c r="BR58" s="332">
        <f>$AQ$10</f>
        <v>41396</v>
      </c>
      <c r="BS58" s="340">
        <f>BT58+BU58/2</f>
        <v>7.6000000000000012E-2</v>
      </c>
      <c r="BT58" s="333">
        <v>6.9000000000000006E-2</v>
      </c>
      <c r="BU58" s="330">
        <v>1.4E-2</v>
      </c>
      <c r="CG58" s="327" t="s">
        <v>252</v>
      </c>
      <c r="CH58" s="333">
        <f t="shared" si="34"/>
        <v>0.104</v>
      </c>
      <c r="CI58" s="333">
        <f t="shared" si="35"/>
        <v>0.104</v>
      </c>
      <c r="CJ58" s="330">
        <f t="shared" si="36"/>
        <v>0</v>
      </c>
    </row>
    <row r="59" spans="1:98">
      <c r="B59" s="212"/>
      <c r="C59" s="188"/>
      <c r="D59" s="149" t="s">
        <v>136</v>
      </c>
      <c r="E59" s="133">
        <v>1.1401761891359397</v>
      </c>
      <c r="F59" s="134">
        <v>1.5147275691700326</v>
      </c>
      <c r="G59" s="135">
        <v>1.8892789492041253</v>
      </c>
      <c r="H59" s="134">
        <v>2.2164791224590581</v>
      </c>
      <c r="I59" s="134">
        <v>2.5436792957139911</v>
      </c>
      <c r="J59" s="135">
        <v>2.8708794689689237</v>
      </c>
      <c r="K59" s="134">
        <v>3.174999861209546</v>
      </c>
      <c r="L59" s="248">
        <v>3.4791202534501688</v>
      </c>
      <c r="M59" s="134">
        <v>3.6547788729188144</v>
      </c>
      <c r="N59" s="134">
        <v>3.83043749238746</v>
      </c>
      <c r="O59" s="134">
        <v>4.006096111856106</v>
      </c>
      <c r="P59" s="134">
        <v>4.1817547313247516</v>
      </c>
      <c r="Q59" s="150">
        <v>4.3574133507933972</v>
      </c>
      <c r="R59" s="166"/>
      <c r="T59" s="746">
        <v>2006</v>
      </c>
      <c r="U59" s="125">
        <v>2391</v>
      </c>
      <c r="V59" s="125">
        <v>11144.3</v>
      </c>
      <c r="W59" s="206">
        <f>U59/V59</f>
        <v>0.21454914171370118</v>
      </c>
      <c r="X59" s="125">
        <v>763.7</v>
      </c>
      <c r="Y59" s="136">
        <v>4091.6930000000002</v>
      </c>
      <c r="Z59" s="208">
        <f>X59/Y59</f>
        <v>0.18664645661343604</v>
      </c>
      <c r="AA59" s="1041">
        <v>2006</v>
      </c>
      <c r="AB59" s="773">
        <v>2391</v>
      </c>
      <c r="AC59" s="125">
        <v>11144.3</v>
      </c>
      <c r="AD59" s="785">
        <f>AB59/AC59</f>
        <v>0.21454914171370118</v>
      </c>
      <c r="AE59" s="782">
        <v>763.7</v>
      </c>
      <c r="AF59" s="136">
        <v>4091.6930000000002</v>
      </c>
      <c r="AG59" s="208">
        <f>AE59/AF59</f>
        <v>0.18664645661343604</v>
      </c>
      <c r="AH59" s="123"/>
      <c r="AO59" s="787"/>
      <c r="AP59" s="787"/>
      <c r="AQ59" s="787"/>
      <c r="AR59" s="787"/>
      <c r="AS59" s="787"/>
      <c r="AT59" s="787"/>
      <c r="AU59" s="787"/>
      <c r="AV59" s="787"/>
      <c r="AW59" s="787"/>
      <c r="AX59" s="787"/>
      <c r="AY59" s="904"/>
      <c r="AZ59" s="787"/>
      <c r="BA59" s="910" t="s">
        <v>246</v>
      </c>
      <c r="BB59" s="331">
        <f>$AQ$4</f>
        <v>41334</v>
      </c>
      <c r="BC59" s="330">
        <f>BD59</f>
        <v>7.0699999999999999E-2</v>
      </c>
      <c r="BD59" s="330">
        <f>$AR$4</f>
        <v>7.0699999999999999E-2</v>
      </c>
      <c r="BE59" s="330"/>
      <c r="BQ59" s="113" t="s">
        <v>404</v>
      </c>
      <c r="BR59" s="341">
        <v>41640</v>
      </c>
      <c r="BS59" s="342">
        <f>BT59</f>
        <v>8.7834696185358122E-2</v>
      </c>
      <c r="BT59" s="328">
        <f>$P$28</f>
        <v>8.7834696185358122E-2</v>
      </c>
      <c r="BU59" s="113"/>
      <c r="CG59" s="327" t="s">
        <v>257</v>
      </c>
      <c r="CH59" s="333">
        <f t="shared" si="34"/>
        <v>8.8999999999999996E-2</v>
      </c>
      <c r="CI59" s="333">
        <f t="shared" si="35"/>
        <v>8.7999999999999995E-2</v>
      </c>
      <c r="CJ59" s="330">
        <f t="shared" si="36"/>
        <v>1.0000000000000009E-3</v>
      </c>
    </row>
    <row r="60" spans="1:98">
      <c r="B60" s="211" t="s">
        <v>134</v>
      </c>
      <c r="C60" s="189"/>
      <c r="D60" s="147" t="s">
        <v>151</v>
      </c>
      <c r="E60" s="117" t="s">
        <v>152</v>
      </c>
      <c r="F60" s="118" t="s">
        <v>153</v>
      </c>
      <c r="G60" s="119" t="s">
        <v>154</v>
      </c>
      <c r="H60" s="118" t="s">
        <v>155</v>
      </c>
      <c r="I60" s="118" t="s">
        <v>156</v>
      </c>
      <c r="J60" s="119" t="s">
        <v>157</v>
      </c>
      <c r="K60" s="118" t="s">
        <v>158</v>
      </c>
      <c r="L60" s="120" t="s">
        <v>159</v>
      </c>
      <c r="M60" s="118" t="s">
        <v>160</v>
      </c>
      <c r="N60" s="118" t="s">
        <v>161</v>
      </c>
      <c r="O60" s="118" t="s">
        <v>162</v>
      </c>
      <c r="P60" s="118" t="s">
        <v>163</v>
      </c>
      <c r="Q60" s="148" t="s">
        <v>164</v>
      </c>
      <c r="R60" s="166"/>
      <c r="T60" s="258">
        <v>2005</v>
      </c>
      <c r="U60" s="136">
        <v>2221</v>
      </c>
      <c r="V60" s="136">
        <v>9378</v>
      </c>
      <c r="W60" s="206">
        <f>U60/V60</f>
        <v>0.23683088078481554</v>
      </c>
      <c r="X60" s="136">
        <v>716.2</v>
      </c>
      <c r="Y60" s="136">
        <v>4238</v>
      </c>
      <c r="Z60" s="206">
        <f>X60/Y60</f>
        <v>0.16899480887210949</v>
      </c>
      <c r="AA60" s="1041">
        <v>2005</v>
      </c>
      <c r="AB60" s="752"/>
      <c r="AC60" s="752"/>
      <c r="AD60" s="752"/>
      <c r="AE60" s="752"/>
      <c r="AF60" s="752"/>
      <c r="AG60" s="207"/>
      <c r="AH60" s="123"/>
      <c r="AO60" s="787"/>
      <c r="AP60" s="787"/>
      <c r="AQ60" s="787"/>
      <c r="AR60" s="787"/>
      <c r="AS60" s="787"/>
      <c r="AT60" s="787"/>
      <c r="AU60" s="787"/>
      <c r="AV60" s="787"/>
      <c r="AW60" s="787"/>
      <c r="AX60" s="787"/>
      <c r="AY60" s="904"/>
      <c r="AZ60" s="787"/>
      <c r="BA60" s="910" t="s">
        <v>249</v>
      </c>
      <c r="BB60" s="332">
        <f>$AQ$10</f>
        <v>41396</v>
      </c>
      <c r="BC60" s="339">
        <f>BD60+BE60/2</f>
        <v>6.9999999999999993E-2</v>
      </c>
      <c r="BD60" s="334">
        <v>6.0999999999999999E-2</v>
      </c>
      <c r="BE60" s="330">
        <v>1.7999999999999999E-2</v>
      </c>
      <c r="BQ60" s="327" t="s">
        <v>257</v>
      </c>
      <c r="BR60" s="331">
        <f>$AW$19</f>
        <v>40617</v>
      </c>
      <c r="BS60" s="333">
        <f>BT60</f>
        <v>8.8999999999999996E-2</v>
      </c>
      <c r="BT60" s="330">
        <f>$AV$19</f>
        <v>8.8999999999999996E-2</v>
      </c>
      <c r="BU60" s="330"/>
      <c r="CG60" s="327" t="s">
        <v>177</v>
      </c>
      <c r="CH60" s="333">
        <f t="shared" ref="CH60:CH61" si="37">VLOOKUP(CG60,$BQ$55:$BS$69,3,FALSE)</f>
        <v>0.10294103166186941</v>
      </c>
      <c r="CI60" s="333">
        <f>VLOOKUP(CG60,$BA$55:$BC$72,3,FALSE)</f>
        <v>9.8924829571277073E-2</v>
      </c>
      <c r="CJ60" s="330">
        <f t="shared" ref="CJ60:CJ61" si="38">CH60-CI60</f>
        <v>4.0162020905923357E-3</v>
      </c>
    </row>
    <row r="61" spans="1:98">
      <c r="B61" s="246"/>
      <c r="C61" s="188"/>
      <c r="D61" s="149" t="s">
        <v>189</v>
      </c>
      <c r="E61" s="133">
        <v>0.24410859326202269</v>
      </c>
      <c r="F61" s="134">
        <v>0.30865992510707513</v>
      </c>
      <c r="G61" s="135">
        <v>0.40514970566355185</v>
      </c>
      <c r="H61" s="134">
        <v>0.46576143995138364</v>
      </c>
      <c r="I61" s="134">
        <v>0.54300242318893399</v>
      </c>
      <c r="J61" s="135">
        <v>0.6448042195186755</v>
      </c>
      <c r="K61" s="134">
        <v>0.64271104592942219</v>
      </c>
      <c r="L61" s="687">
        <v>0.64031868806607062</v>
      </c>
      <c r="M61" s="134">
        <v>0.63978855783819</v>
      </c>
      <c r="N61" s="134">
        <v>0.63921848005438198</v>
      </c>
      <c r="O61" s="134">
        <v>0.63860376260335916</v>
      </c>
      <c r="P61" s="134">
        <v>0.63793894860433586</v>
      </c>
      <c r="Q61" s="150">
        <v>0.63721765397564589</v>
      </c>
      <c r="R61" s="166"/>
      <c r="T61" s="259" t="s">
        <v>174</v>
      </c>
      <c r="U61" s="203"/>
      <c r="V61" s="209"/>
      <c r="W61" s="206">
        <f>AVERAGE(W56,W58:W60)</f>
        <v>0.23875561877926038</v>
      </c>
      <c r="X61" s="202"/>
      <c r="Y61" s="202"/>
      <c r="Z61" s="206">
        <f>AVERAGE(Z56,Z58:Z60)</f>
        <v>0.16690072761760621</v>
      </c>
      <c r="AA61" s="450" t="s">
        <v>174</v>
      </c>
      <c r="AB61" s="203"/>
      <c r="AC61" s="203"/>
      <c r="AD61" s="206">
        <f>AVERAGE(AD56:AD59)</f>
        <v>0.24062460754083934</v>
      </c>
      <c r="AE61" s="202"/>
      <c r="AF61" s="202"/>
      <c r="AG61" s="208">
        <f>AVERAGE(AG56:AG59)</f>
        <v>0.16033882658734161</v>
      </c>
      <c r="AH61" s="123"/>
      <c r="AO61" s="787"/>
      <c r="AP61" s="787"/>
      <c r="AQ61" s="787"/>
      <c r="AR61" s="787"/>
      <c r="AS61" s="787"/>
      <c r="AT61" s="787"/>
      <c r="AU61" s="787"/>
      <c r="AV61" s="787"/>
      <c r="AW61" s="787"/>
      <c r="AX61" s="787"/>
      <c r="AY61" s="904"/>
      <c r="AZ61" s="787"/>
      <c r="BA61" s="910" t="s">
        <v>258</v>
      </c>
      <c r="BB61" s="332">
        <f>$AQ$20</f>
        <v>41640</v>
      </c>
      <c r="BC61" s="330">
        <f>BD61</f>
        <v>7.4999999999999997E-2</v>
      </c>
      <c r="BD61" s="333">
        <f>$AR$20</f>
        <v>7.4999999999999997E-2</v>
      </c>
      <c r="BE61" s="113"/>
      <c r="BQ61" s="327" t="s">
        <v>258</v>
      </c>
      <c r="BR61" s="332">
        <f>$AW$20</f>
        <v>40583</v>
      </c>
      <c r="BS61" s="333">
        <f>BT61</f>
        <v>9.4E-2</v>
      </c>
      <c r="BT61" s="333">
        <f>$AV$20</f>
        <v>9.4E-2</v>
      </c>
      <c r="BU61" s="330"/>
      <c r="CG61" s="327" t="s">
        <v>254</v>
      </c>
      <c r="CH61" s="333">
        <f t="shared" si="37"/>
        <v>6.7000000000000004E-2</v>
      </c>
      <c r="CI61" s="333">
        <f>VLOOKUP(CG61,$BA$55:$BC$72,3,FALSE)</f>
        <v>6.2E-2</v>
      </c>
      <c r="CJ61" s="330">
        <f t="shared" si="38"/>
        <v>5.0000000000000044E-3</v>
      </c>
    </row>
    <row r="62" spans="1:98">
      <c r="B62" s="246"/>
      <c r="C62" s="188"/>
      <c r="D62" s="147" t="s">
        <v>135</v>
      </c>
      <c r="E62" s="133">
        <v>0.246048237219228</v>
      </c>
      <c r="F62" s="134">
        <v>0.31111248259620355</v>
      </c>
      <c r="G62" s="135">
        <v>0.40836895398190298</v>
      </c>
      <c r="H62" s="134">
        <v>0.46946229845221993</v>
      </c>
      <c r="I62" s="134">
        <v>0.54731702496026824</v>
      </c>
      <c r="J62" s="135">
        <v>0.64992772046248459</v>
      </c>
      <c r="K62" s="134">
        <v>0.64781791488396157</v>
      </c>
      <c r="L62" s="248">
        <v>0.64540654776570794</v>
      </c>
      <c r="M62" s="134">
        <v>0.64487220521625632</v>
      </c>
      <c r="N62" s="134">
        <v>0.64429759769462258</v>
      </c>
      <c r="O62" s="134">
        <v>0.64367799580682783</v>
      </c>
      <c r="P62" s="134">
        <v>0.64300789931267133</v>
      </c>
      <c r="Q62" s="150">
        <v>0.64228087340369655</v>
      </c>
      <c r="R62" s="166"/>
      <c r="T62" s="203"/>
      <c r="U62" s="203"/>
      <c r="V62" s="203"/>
      <c r="W62" s="724">
        <f>1/W61</f>
        <v>4.1883831053397831</v>
      </c>
      <c r="X62" s="203"/>
      <c r="Y62" s="203"/>
      <c r="Z62" s="724">
        <f>1/Z61</f>
        <v>5.9915856226291897</v>
      </c>
      <c r="AA62" s="202"/>
      <c r="AB62" s="204"/>
      <c r="AC62" s="205"/>
      <c r="AD62" s="205"/>
      <c r="AE62" s="203"/>
      <c r="AF62" s="203"/>
      <c r="AG62" s="203"/>
      <c r="AH62" s="123"/>
      <c r="AO62" s="787"/>
      <c r="AP62" s="787"/>
      <c r="AQ62" s="787"/>
      <c r="AR62" s="787"/>
      <c r="AS62" s="787"/>
      <c r="AT62" s="787"/>
      <c r="AU62" s="787"/>
      <c r="AV62" s="787"/>
      <c r="AW62" s="787"/>
      <c r="AX62" s="787"/>
      <c r="AY62" s="904"/>
      <c r="AZ62" s="787"/>
      <c r="BA62" s="751" t="s">
        <v>404</v>
      </c>
      <c r="BB62" s="341">
        <v>41640</v>
      </c>
      <c r="BC62" s="328">
        <f t="shared" ref="BC62:BC63" si="39">BD62</f>
        <v>8.1555337818754861E-2</v>
      </c>
      <c r="BD62" s="328">
        <f>$J$28</f>
        <v>8.1555337818754861E-2</v>
      </c>
      <c r="BE62" s="330"/>
      <c r="BQ62" s="327" t="s">
        <v>248</v>
      </c>
      <c r="BR62" s="331">
        <f>$AQ$9</f>
        <v>41256</v>
      </c>
      <c r="BS62" s="340">
        <f>BT62+BU62/2</f>
        <v>9.9049999999999999E-2</v>
      </c>
      <c r="BT62" s="330">
        <v>9.3299999999999994E-2</v>
      </c>
      <c r="BU62" s="330">
        <f>10.48%-9.33%</f>
        <v>1.150000000000001E-2</v>
      </c>
      <c r="CG62" s="327" t="s">
        <v>249</v>
      </c>
      <c r="CH62" s="333">
        <f t="shared" ref="CH62:CH69" si="40">VLOOKUP(CG62,$BQ$55:$BS$69,3,FALSE)</f>
        <v>7.6000000000000012E-2</v>
      </c>
      <c r="CI62" s="333">
        <f>VLOOKUP(CG62,$BA$55:$BC$72,3,FALSE)</f>
        <v>6.9999999999999993E-2</v>
      </c>
      <c r="CJ62" s="330">
        <f t="shared" ref="CJ62:CJ69" si="41">CH62-CI62</f>
        <v>6.0000000000000192E-3</v>
      </c>
    </row>
    <row r="63" spans="1:98">
      <c r="B63" s="212"/>
      <c r="C63" s="188"/>
      <c r="D63" s="149" t="s">
        <v>136</v>
      </c>
      <c r="E63" s="142">
        <v>0.25524598219990707</v>
      </c>
      <c r="F63" s="141">
        <v>0.33692344529540552</v>
      </c>
      <c r="G63" s="143">
        <v>0.45901295553838306</v>
      </c>
      <c r="H63" s="141">
        <v>0.52174359742978005</v>
      </c>
      <c r="I63" s="141">
        <v>0.60168482524227784</v>
      </c>
      <c r="J63" s="143">
        <v>0.70704548031173697</v>
      </c>
      <c r="K63" s="141">
        <v>0.73490151829922967</v>
      </c>
      <c r="L63" s="161">
        <v>0.76673911259305505</v>
      </c>
      <c r="M63" s="141">
        <v>0.77747232979641689</v>
      </c>
      <c r="N63" s="141">
        <v>0.78901434033387807</v>
      </c>
      <c r="O63" s="141">
        <v>0.80146014246612851</v>
      </c>
      <c r="P63" s="141">
        <v>0.81492021826652195</v>
      </c>
      <c r="Q63" s="153">
        <v>0.82952382226831622</v>
      </c>
      <c r="R63" s="166"/>
      <c r="T63" s="123"/>
      <c r="U63" s="123"/>
      <c r="V63" s="123"/>
      <c r="W63" s="123"/>
      <c r="X63" s="123"/>
      <c r="Y63" s="123"/>
      <c r="Z63" s="123"/>
      <c r="AC63" s="121"/>
      <c r="AD63" s="122"/>
      <c r="AE63" s="123"/>
      <c r="AF63" s="123"/>
      <c r="AG63" s="123"/>
      <c r="AH63" s="123"/>
      <c r="AO63" s="787"/>
      <c r="AP63" s="787"/>
      <c r="AQ63" s="787"/>
      <c r="AR63" s="787"/>
      <c r="AS63" s="787"/>
      <c r="AT63" s="787"/>
      <c r="AU63" s="787"/>
      <c r="AV63" s="787"/>
      <c r="AW63" s="787"/>
      <c r="AX63" s="787"/>
      <c r="AY63" s="904"/>
      <c r="AZ63" s="787"/>
      <c r="BA63" s="910" t="s">
        <v>257</v>
      </c>
      <c r="BB63" s="331">
        <f>$AQ$19</f>
        <v>40744</v>
      </c>
      <c r="BC63" s="330">
        <f t="shared" si="39"/>
        <v>8.7999999999999995E-2</v>
      </c>
      <c r="BD63" s="330">
        <f>$AR$19</f>
        <v>8.7999999999999995E-2</v>
      </c>
      <c r="BE63" s="330"/>
      <c r="BQ63" s="327" t="s">
        <v>177</v>
      </c>
      <c r="BR63" s="331">
        <f>$AQ$6</f>
        <v>40302</v>
      </c>
      <c r="BS63" s="333">
        <f t="shared" ref="BS63:BS69" si="42">BT63</f>
        <v>0.10294103166186941</v>
      </c>
      <c r="BT63" s="333">
        <f>$AV$7</f>
        <v>0.10294103166186941</v>
      </c>
      <c r="BU63" s="330"/>
      <c r="CG63" s="113" t="s">
        <v>404</v>
      </c>
      <c r="CH63" s="342">
        <f t="shared" si="40"/>
        <v>8.7834696185358122E-2</v>
      </c>
      <c r="CI63" s="328">
        <f>VLOOKUP(CG63,$BA$55:$BC$72,3,FALSE)</f>
        <v>8.1555337818754861E-2</v>
      </c>
      <c r="CJ63" s="328">
        <f t="shared" si="41"/>
        <v>6.2793583666032604E-3</v>
      </c>
    </row>
    <row r="64" spans="1:98">
      <c r="B64" s="211" t="s">
        <v>435</v>
      </c>
      <c r="C64" s="189"/>
      <c r="D64" s="147" t="s">
        <v>151</v>
      </c>
      <c r="E64" s="679" t="s">
        <v>152</v>
      </c>
      <c r="F64" s="680" t="s">
        <v>153</v>
      </c>
      <c r="G64" s="681" t="s">
        <v>154</v>
      </c>
      <c r="H64" s="680" t="s">
        <v>155</v>
      </c>
      <c r="I64" s="680" t="s">
        <v>156</v>
      </c>
      <c r="J64" s="681" t="s">
        <v>157</v>
      </c>
      <c r="K64" s="680" t="s">
        <v>158</v>
      </c>
      <c r="L64" s="655" t="s">
        <v>159</v>
      </c>
      <c r="M64" s="680" t="s">
        <v>160</v>
      </c>
      <c r="N64" s="680" t="s">
        <v>161</v>
      </c>
      <c r="O64" s="680" t="s">
        <v>162</v>
      </c>
      <c r="P64" s="680" t="s">
        <v>163</v>
      </c>
      <c r="Q64" s="682" t="s">
        <v>164</v>
      </c>
      <c r="R64" s="166"/>
      <c r="T64" s="885"/>
      <c r="U64" s="885"/>
      <c r="V64" s="885"/>
      <c r="W64" s="885"/>
      <c r="X64" s="885"/>
      <c r="Y64" s="885"/>
      <c r="Z64" s="885"/>
      <c r="AA64" s="769"/>
      <c r="AB64" s="886"/>
      <c r="AC64" s="887"/>
      <c r="AD64" s="888"/>
      <c r="AE64" s="885"/>
      <c r="AF64" s="885"/>
      <c r="AG64" s="885"/>
      <c r="AH64" s="885"/>
      <c r="AI64" s="769"/>
      <c r="AJ64" s="753"/>
      <c r="AO64" s="787"/>
      <c r="AP64" s="787"/>
      <c r="AQ64" s="751"/>
      <c r="AR64" s="787"/>
      <c r="AS64" s="787"/>
      <c r="AT64" s="787"/>
      <c r="AU64" s="787"/>
      <c r="AV64" s="787"/>
      <c r="AW64" s="787"/>
      <c r="AX64" s="787"/>
      <c r="AY64" s="904"/>
      <c r="AZ64" s="787"/>
      <c r="BA64" s="910" t="s">
        <v>250</v>
      </c>
      <c r="BB64" s="331">
        <f>$AQ$11</f>
        <v>41303</v>
      </c>
      <c r="BC64" s="330">
        <f t="shared" ref="BC64:BC72" si="43">BD64</f>
        <v>9.5000000000000001E-2</v>
      </c>
      <c r="BD64" s="330">
        <f>$AR$11</f>
        <v>9.5000000000000001E-2</v>
      </c>
      <c r="BE64" s="330"/>
      <c r="BQ64" s="327" t="s">
        <v>250</v>
      </c>
      <c r="BR64" s="331">
        <f>$AQ$11</f>
        <v>41303</v>
      </c>
      <c r="BS64" s="333">
        <f t="shared" si="42"/>
        <v>0.104</v>
      </c>
      <c r="BT64" s="330">
        <f>$AV$11</f>
        <v>0.104</v>
      </c>
      <c r="BU64" s="330"/>
      <c r="CG64" s="602" t="s">
        <v>258</v>
      </c>
      <c r="CH64" s="333">
        <f t="shared" si="40"/>
        <v>9.4E-2</v>
      </c>
      <c r="CI64" s="601">
        <v>8.7999999999999995E-2</v>
      </c>
      <c r="CJ64" s="330">
        <f t="shared" si="41"/>
        <v>6.0000000000000053E-3</v>
      </c>
    </row>
    <row r="65" spans="2:88">
      <c r="B65" s="213"/>
      <c r="C65" s="188"/>
      <c r="D65" s="683"/>
      <c r="E65" s="688">
        <v>1</v>
      </c>
      <c r="F65" s="689">
        <v>2</v>
      </c>
      <c r="G65" s="689">
        <v>3</v>
      </c>
      <c r="H65" s="689">
        <v>4</v>
      </c>
      <c r="I65" s="689">
        <v>5</v>
      </c>
      <c r="J65" s="689">
        <v>6</v>
      </c>
      <c r="K65" s="689">
        <v>7</v>
      </c>
      <c r="L65" s="689">
        <v>8</v>
      </c>
      <c r="M65" s="689">
        <v>9</v>
      </c>
      <c r="N65" s="689">
        <v>10</v>
      </c>
      <c r="O65" s="689">
        <v>11</v>
      </c>
      <c r="P65" s="689">
        <v>12</v>
      </c>
      <c r="Q65" s="690">
        <v>13</v>
      </c>
      <c r="R65" s="166"/>
      <c r="T65" s="885"/>
      <c r="U65" s="885"/>
      <c r="V65" s="885"/>
      <c r="W65" s="885"/>
      <c r="X65" s="885"/>
      <c r="Y65" s="885"/>
      <c r="Z65" s="885"/>
      <c r="AA65" s="769"/>
      <c r="AB65" s="886"/>
      <c r="AC65" s="887"/>
      <c r="AD65" s="888"/>
      <c r="AE65" s="885"/>
      <c r="AF65" s="885"/>
      <c r="AG65" s="885"/>
      <c r="AH65" s="885"/>
      <c r="AI65" s="769"/>
      <c r="AJ65" s="753"/>
      <c r="AO65" s="787"/>
      <c r="AP65" s="787"/>
      <c r="AQ65" s="752"/>
      <c r="AR65" s="773">
        <v>2013</v>
      </c>
      <c r="AS65" s="773">
        <v>2013</v>
      </c>
      <c r="AT65" s="773">
        <v>2010</v>
      </c>
      <c r="AU65" s="773">
        <v>2010</v>
      </c>
      <c r="AV65" s="752"/>
      <c r="AW65" s="752"/>
      <c r="AX65" s="787"/>
      <c r="AY65" s="904"/>
      <c r="AZ65" s="787"/>
      <c r="BA65" s="910" t="s">
        <v>177</v>
      </c>
      <c r="BB65" s="332">
        <f>$AQ$6</f>
        <v>40302</v>
      </c>
      <c r="BC65" s="330">
        <f t="shared" si="43"/>
        <v>9.8924829571277073E-2</v>
      </c>
      <c r="BD65" s="333">
        <f>$AR$7</f>
        <v>9.8924829571277073E-2</v>
      </c>
      <c r="BE65" s="330"/>
      <c r="BQ65" s="327" t="s">
        <v>252</v>
      </c>
      <c r="BR65" s="331">
        <f>$AW$14</f>
        <v>40864</v>
      </c>
      <c r="BS65" s="333">
        <f t="shared" si="42"/>
        <v>0.104</v>
      </c>
      <c r="BT65" s="330">
        <f>$AV$14</f>
        <v>0.104</v>
      </c>
      <c r="BU65" s="330"/>
      <c r="CG65" s="329" t="s">
        <v>260</v>
      </c>
      <c r="CH65" s="333">
        <f t="shared" si="40"/>
        <v>0.1137</v>
      </c>
      <c r="CI65" s="333">
        <f>VLOOKUP(CG65,$BA$55:$BC$72,3,FALSE)</f>
        <v>0.1053</v>
      </c>
      <c r="CJ65" s="330">
        <f t="shared" si="41"/>
        <v>8.3999999999999908E-3</v>
      </c>
    </row>
    <row r="66" spans="2:88">
      <c r="B66" s="247"/>
      <c r="C66" s="190" t="str">
        <f>'[1]Calculation Rf &amp; Cd'!$AH$1</f>
        <v>A</v>
      </c>
      <c r="D66" s="691">
        <v>1</v>
      </c>
      <c r="E66" s="137">
        <v>2.1337104363824571</v>
      </c>
      <c r="F66" s="138">
        <v>2.3919524745990182</v>
      </c>
      <c r="G66" s="139">
        <v>2.6501945128155793</v>
      </c>
      <c r="H66" s="138">
        <v>2.8934611794822458</v>
      </c>
      <c r="I66" s="138">
        <v>3.1367278461489128</v>
      </c>
      <c r="J66" s="139">
        <v>3.3799945128155793</v>
      </c>
      <c r="K66" s="138">
        <v>3.5365734937072988</v>
      </c>
      <c r="L66" s="692">
        <v>3.6931524745990187</v>
      </c>
      <c r="M66" s="138">
        <v>3.8279892898856436</v>
      </c>
      <c r="N66" s="138">
        <v>3.9628261051722684</v>
      </c>
      <c r="O66" s="138">
        <v>4.0976629204588937</v>
      </c>
      <c r="P66" s="138">
        <v>4.2324997357455185</v>
      </c>
      <c r="Q66" s="151">
        <v>4.3673365510321434</v>
      </c>
      <c r="R66" s="166"/>
      <c r="T66" s="885"/>
      <c r="U66" s="885"/>
      <c r="V66" s="885"/>
      <c r="W66" s="885"/>
      <c r="X66" s="885"/>
      <c r="Y66" s="885"/>
      <c r="Z66" s="885"/>
      <c r="AA66" s="769"/>
      <c r="AB66" s="886"/>
      <c r="AC66" s="886"/>
      <c r="AD66" s="885"/>
      <c r="AE66" s="885"/>
      <c r="AF66" s="885"/>
      <c r="AG66" s="885"/>
      <c r="AH66" s="885"/>
      <c r="AI66" s="769"/>
      <c r="AJ66" s="753"/>
      <c r="AO66" s="787"/>
      <c r="AP66" s="787"/>
      <c r="AQ66" s="773"/>
      <c r="AR66" s="203" t="s">
        <v>311</v>
      </c>
      <c r="AS66" s="203" t="s">
        <v>20</v>
      </c>
      <c r="AT66" s="203" t="s">
        <v>311</v>
      </c>
      <c r="AU66" s="203" t="s">
        <v>20</v>
      </c>
      <c r="AV66" s="752"/>
      <c r="AW66" s="752"/>
      <c r="AX66" s="787"/>
      <c r="BA66" s="327" t="s">
        <v>253</v>
      </c>
      <c r="BB66" s="331">
        <f>$AQ$15</f>
        <v>40453</v>
      </c>
      <c r="BC66" s="330">
        <f t="shared" si="43"/>
        <v>0.10199999999999999</v>
      </c>
      <c r="BD66" s="330">
        <f>$AR$15</f>
        <v>0.10199999999999999</v>
      </c>
      <c r="BE66" s="330"/>
      <c r="BQ66" s="327" t="s">
        <v>256</v>
      </c>
      <c r="BR66" s="331">
        <f>$AW$18</f>
        <v>41029</v>
      </c>
      <c r="BS66" s="333">
        <f t="shared" si="42"/>
        <v>0.111</v>
      </c>
      <c r="BT66" s="330">
        <f>$AV$18</f>
        <v>0.111</v>
      </c>
      <c r="BU66" s="330"/>
      <c r="CG66" s="327" t="s">
        <v>247</v>
      </c>
      <c r="CH66" s="333">
        <f t="shared" si="40"/>
        <v>6.2899999999999998E-2</v>
      </c>
      <c r="CI66" s="333">
        <f>VLOOKUP(CG66,$BA$55:$BC$72,3,FALSE)</f>
        <v>5.3999999999999999E-2</v>
      </c>
      <c r="CJ66" s="330">
        <f t="shared" si="41"/>
        <v>8.8999999999999982E-3</v>
      </c>
    </row>
    <row r="67" spans="2:88">
      <c r="B67" s="166"/>
      <c r="C67" s="191" t="s">
        <v>143</v>
      </c>
      <c r="D67" s="691">
        <v>2</v>
      </c>
      <c r="E67" s="140">
        <v>2.3036330478474256</v>
      </c>
      <c r="F67" s="141">
        <v>2.6097370287391453</v>
      </c>
      <c r="G67" s="141">
        <v>2.9158410096308653</v>
      </c>
      <c r="H67" s="141">
        <v>3.1335437697157911</v>
      </c>
      <c r="I67" s="141">
        <v>3.3512465298007168</v>
      </c>
      <c r="J67" s="141">
        <v>3.5689492898856425</v>
      </c>
      <c r="K67" s="141">
        <v>3.7187279523060255</v>
      </c>
      <c r="L67" s="693">
        <v>3.868506614726408</v>
      </c>
      <c r="M67" s="141">
        <v>4.01071272937609</v>
      </c>
      <c r="N67" s="141">
        <v>4.1529188440257716</v>
      </c>
      <c r="O67" s="141">
        <v>4.2951249586754532</v>
      </c>
      <c r="P67" s="141">
        <v>4.4373310733251348</v>
      </c>
      <c r="Q67" s="152">
        <v>4.5795371879748163</v>
      </c>
      <c r="R67" s="166"/>
      <c r="T67" s="885"/>
      <c r="U67" s="885"/>
      <c r="V67" s="885"/>
      <c r="W67" s="885"/>
      <c r="X67" s="885"/>
      <c r="Y67" s="885"/>
      <c r="Z67" s="885"/>
      <c r="AA67" s="769"/>
      <c r="AB67" s="886"/>
      <c r="AC67" s="886"/>
      <c r="AD67" s="885"/>
      <c r="AE67" s="885"/>
      <c r="AF67" s="885"/>
      <c r="AG67" s="885"/>
      <c r="AH67" s="885"/>
      <c r="AI67" s="769"/>
      <c r="AJ67" s="753"/>
      <c r="AO67" s="787"/>
      <c r="AP67" s="787"/>
      <c r="AQ67" s="773" t="s">
        <v>170</v>
      </c>
      <c r="AR67" s="330">
        <f>BC55</f>
        <v>5.3999999999999999E-2</v>
      </c>
      <c r="AS67" s="330">
        <f>BS55</f>
        <v>6.2899999999999998E-2</v>
      </c>
      <c r="AT67" s="498">
        <f>'(Cullen 2010 Fixed)'!C4</f>
        <v>7.6999999999999999E-2</v>
      </c>
      <c r="AU67" s="330">
        <f>'(Cullen 2010 Mobile)'!C4</f>
        <v>9.69E-2</v>
      </c>
      <c r="AV67" s="773" t="s">
        <v>170</v>
      </c>
      <c r="AW67" s="752"/>
      <c r="AX67" s="787"/>
      <c r="BA67" s="207" t="s">
        <v>251</v>
      </c>
      <c r="BB67" s="332">
        <f>$AQ$13</f>
        <v>39590</v>
      </c>
      <c r="BC67" s="330">
        <f t="shared" si="43"/>
        <v>0.1021</v>
      </c>
      <c r="BD67" s="333">
        <f>$AR$13</f>
        <v>0.1021</v>
      </c>
      <c r="BE67" s="330"/>
      <c r="BQ67" s="329" t="s">
        <v>260</v>
      </c>
      <c r="BR67" s="331">
        <f>$AQ$5</f>
        <v>41351</v>
      </c>
      <c r="BS67" s="333">
        <f t="shared" si="42"/>
        <v>0.1137</v>
      </c>
      <c r="BT67" s="330">
        <f>$AV$5</f>
        <v>0.1137</v>
      </c>
      <c r="BU67" s="330"/>
      <c r="CG67" s="327" t="s">
        <v>250</v>
      </c>
      <c r="CH67" s="333">
        <f t="shared" si="40"/>
        <v>0.104</v>
      </c>
      <c r="CI67" s="333">
        <f>VLOOKUP(CG67,$BA$55:$BC$72,3,FALSE)</f>
        <v>9.5000000000000001E-2</v>
      </c>
      <c r="CJ67" s="330">
        <f t="shared" si="41"/>
        <v>8.9999999999999941E-3</v>
      </c>
    </row>
    <row r="68" spans="2:88">
      <c r="B68" s="166"/>
      <c r="C68" s="192" t="str">
        <f>'[1]Calculation Rf &amp; Cd'!$AO$1</f>
        <v>BBB+</v>
      </c>
      <c r="D68" s="691">
        <v>3</v>
      </c>
      <c r="E68" s="142">
        <v>2.4735556593123946</v>
      </c>
      <c r="F68" s="141">
        <v>2.8275215828792728</v>
      </c>
      <c r="G68" s="143">
        <v>3.1814875064461514</v>
      </c>
      <c r="H68" s="141">
        <v>3.3736263599493364</v>
      </c>
      <c r="I68" s="141">
        <v>3.5657652134525213</v>
      </c>
      <c r="J68" s="143">
        <v>3.7579040669557062</v>
      </c>
      <c r="K68" s="141">
        <v>3.9008824109047517</v>
      </c>
      <c r="L68" s="694">
        <v>4.0438607548537977</v>
      </c>
      <c r="M68" s="141">
        <v>4.193436168866536</v>
      </c>
      <c r="N68" s="141">
        <v>4.3430115828792744</v>
      </c>
      <c r="O68" s="141">
        <v>4.4925869968920127</v>
      </c>
      <c r="P68" s="141">
        <v>4.642162410904751</v>
      </c>
      <c r="Q68" s="153">
        <v>4.7917378249174893</v>
      </c>
      <c r="R68" s="166"/>
      <c r="T68" s="885"/>
      <c r="U68" s="885"/>
      <c r="V68" s="885"/>
      <c r="W68" s="885"/>
      <c r="X68" s="885"/>
      <c r="Y68" s="885"/>
      <c r="Z68" s="885"/>
      <c r="AA68" s="769"/>
      <c r="AB68" s="886"/>
      <c r="AC68" s="886"/>
      <c r="AD68" s="885"/>
      <c r="AE68" s="885"/>
      <c r="AF68" s="885"/>
      <c r="AG68" s="885"/>
      <c r="AH68" s="885"/>
      <c r="AI68" s="769"/>
      <c r="AJ68" s="753"/>
      <c r="AO68" s="787"/>
      <c r="AP68" s="787"/>
      <c r="AQ68" s="773">
        <v>2013</v>
      </c>
      <c r="AR68" s="330">
        <f>BC62-BC55</f>
        <v>2.7555337818754862E-2</v>
      </c>
      <c r="AS68" s="330">
        <f>BS59-BS55</f>
        <v>2.4934696185358124E-2</v>
      </c>
      <c r="AT68" s="498">
        <f>V28-AT67</f>
        <v>2.1924829571277074E-2</v>
      </c>
      <c r="AU68" s="330">
        <f>Y28-AU67</f>
        <v>6.0410316618694088E-3</v>
      </c>
      <c r="AV68" s="773">
        <v>2010</v>
      </c>
      <c r="AW68" s="752"/>
      <c r="AX68" s="787"/>
      <c r="BA68" s="327" t="s">
        <v>261</v>
      </c>
      <c r="BB68" s="332">
        <f>$AQ$12</f>
        <v>38810</v>
      </c>
      <c r="BC68" s="330">
        <f t="shared" si="43"/>
        <v>0.104</v>
      </c>
      <c r="BD68" s="333">
        <f>$AR$12</f>
        <v>0.104</v>
      </c>
      <c r="BE68" s="330"/>
      <c r="BQ68" s="327" t="s">
        <v>253</v>
      </c>
      <c r="BR68" s="331">
        <f>$AW$15</f>
        <v>41326</v>
      </c>
      <c r="BS68" s="333">
        <f t="shared" si="42"/>
        <v>0.11799999999999999</v>
      </c>
      <c r="BT68" s="330">
        <f>$AV$15</f>
        <v>0.11799999999999999</v>
      </c>
      <c r="BU68" s="330"/>
      <c r="CG68" s="327" t="s">
        <v>253</v>
      </c>
      <c r="CH68" s="333">
        <f t="shared" si="40"/>
        <v>0.11799999999999999</v>
      </c>
      <c r="CI68" s="333">
        <f>VLOOKUP(CG68,$BA$55:$BC$72,3,FALSE)</f>
        <v>0.10199999999999999</v>
      </c>
      <c r="CJ68" s="330">
        <f t="shared" si="41"/>
        <v>1.6E-2</v>
      </c>
    </row>
    <row r="69" spans="2:88">
      <c r="B69" s="166"/>
      <c r="C69" s="192" t="str">
        <f>'[1]Calculation Rf &amp; Cd'!$AV$1</f>
        <v>BBB</v>
      </c>
      <c r="D69" s="691">
        <v>4</v>
      </c>
      <c r="E69" s="142">
        <v>2.7522378249174908</v>
      </c>
      <c r="F69" s="141">
        <v>3.1118492898856434</v>
      </c>
      <c r="G69" s="143">
        <v>3.4714607548537959</v>
      </c>
      <c r="H69" s="141">
        <v>3.6469025807561315</v>
      </c>
      <c r="I69" s="141">
        <v>3.8223444066584666</v>
      </c>
      <c r="J69" s="143">
        <v>3.9977862325608022</v>
      </c>
      <c r="K69" s="141">
        <v>4.1464375064461523</v>
      </c>
      <c r="L69" s="694">
        <v>4.2950887803315023</v>
      </c>
      <c r="M69" s="141" t="s">
        <v>165</v>
      </c>
      <c r="N69" s="141" t="s">
        <v>165</v>
      </c>
      <c r="O69" s="141" t="s">
        <v>165</v>
      </c>
      <c r="P69" s="141" t="s">
        <v>165</v>
      </c>
      <c r="Q69" s="153" t="s">
        <v>165</v>
      </c>
      <c r="R69" s="166"/>
      <c r="T69" s="885"/>
      <c r="U69" s="885"/>
      <c r="V69" s="885"/>
      <c r="W69" s="885"/>
      <c r="X69" s="885"/>
      <c r="Y69" s="885"/>
      <c r="Z69" s="885"/>
      <c r="AA69" s="769"/>
      <c r="AB69" s="886"/>
      <c r="AC69" s="885"/>
      <c r="AD69" s="885"/>
      <c r="AE69" s="885"/>
      <c r="AF69" s="885"/>
      <c r="AG69" s="885"/>
      <c r="AH69" s="885"/>
      <c r="AI69" s="769"/>
      <c r="AJ69" s="753"/>
      <c r="AO69" s="787"/>
      <c r="AP69" s="787"/>
      <c r="AQ69" s="773" t="s">
        <v>291</v>
      </c>
      <c r="AR69" s="330">
        <f>BA1-BC62</f>
        <v>6.3712140294499425E-3</v>
      </c>
      <c r="AS69" s="330">
        <f>BQ1-BS59</f>
        <v>8.9646632190611003E-3</v>
      </c>
      <c r="AT69" s="498">
        <f>'(Cullen 2010 Fixed)'!N21-'WACC BIPT &amp; Cullen 2013'!V28</f>
        <v>2.6470454287229328E-3</v>
      </c>
      <c r="AU69" s="330">
        <f>'(Cullen 2010 Mobile)'!M18-'WACC BIPT &amp; Cullen 2013'!Y28</f>
        <v>1.7790912782575052E-2</v>
      </c>
      <c r="AV69" s="773" t="s">
        <v>291</v>
      </c>
      <c r="AW69" s="752"/>
      <c r="AX69" s="787"/>
      <c r="BA69" s="327" t="s">
        <v>252</v>
      </c>
      <c r="BB69" s="331">
        <f>$AQ$14</f>
        <v>41369</v>
      </c>
      <c r="BC69" s="330">
        <f t="shared" si="43"/>
        <v>0.104</v>
      </c>
      <c r="BD69" s="330">
        <f>$AR$14</f>
        <v>0.104</v>
      </c>
      <c r="BE69" s="330"/>
      <c r="BQ69" s="327" t="s">
        <v>261</v>
      </c>
      <c r="BR69" s="332">
        <f>$AW$12</f>
        <v>41255</v>
      </c>
      <c r="BS69" s="333">
        <f t="shared" si="42"/>
        <v>0.1429</v>
      </c>
      <c r="BT69" s="333">
        <f>$AV$12</f>
        <v>0.1429</v>
      </c>
      <c r="CG69" s="327" t="s">
        <v>261</v>
      </c>
      <c r="CH69" s="333">
        <f t="shared" si="40"/>
        <v>0.1429</v>
      </c>
      <c r="CI69" s="333">
        <f>VLOOKUP(CG69,$BA$55:$BC$72,3,FALSE)</f>
        <v>0.104</v>
      </c>
      <c r="CJ69" s="330">
        <f t="shared" si="41"/>
        <v>3.8900000000000004E-2</v>
      </c>
    </row>
    <row r="70" spans="2:88">
      <c r="B70" s="166"/>
      <c r="C70" s="192" t="str">
        <f>'[1]Calculation Rf &amp; Cd'!$BC$1</f>
        <v>BBB-</v>
      </c>
      <c r="D70" s="691">
        <v>5</v>
      </c>
      <c r="E70" s="142">
        <v>3.1330741306499759</v>
      </c>
      <c r="F70" s="141">
        <v>3.5635604363824585</v>
      </c>
      <c r="G70" s="143">
        <v>3.994046742114941</v>
      </c>
      <c r="H70" s="141">
        <v>4.2443760414779979</v>
      </c>
      <c r="I70" s="141">
        <v>4.4947053408410547</v>
      </c>
      <c r="J70" s="143">
        <v>4.7450346402041115</v>
      </c>
      <c r="K70" s="141">
        <v>4.8362518376563424</v>
      </c>
      <c r="L70" s="694">
        <v>4.9274690351085733</v>
      </c>
      <c r="M70" s="141" t="s">
        <v>165</v>
      </c>
      <c r="N70" s="141" t="s">
        <v>165</v>
      </c>
      <c r="O70" s="141" t="s">
        <v>165</v>
      </c>
      <c r="P70" s="141" t="s">
        <v>165</v>
      </c>
      <c r="Q70" s="153" t="s">
        <v>165</v>
      </c>
      <c r="R70" s="166"/>
      <c r="T70" s="885"/>
      <c r="U70" s="885"/>
      <c r="V70" s="885"/>
      <c r="W70" s="885"/>
      <c r="X70" s="885"/>
      <c r="Y70" s="885"/>
      <c r="Z70" s="885"/>
      <c r="AA70" s="769"/>
      <c r="AB70" s="772"/>
      <c r="AC70" s="885"/>
      <c r="AD70" s="885"/>
      <c r="AE70" s="885"/>
      <c r="AF70" s="885"/>
      <c r="AG70" s="885"/>
      <c r="AH70" s="885"/>
      <c r="AI70" s="769"/>
      <c r="AJ70" s="753"/>
      <c r="AO70" s="787"/>
      <c r="AP70" s="787"/>
      <c r="AQ70" s="773" t="s">
        <v>310</v>
      </c>
      <c r="AR70" s="330">
        <f>BC1-BA1</f>
        <v>9.0358629374337335E-3</v>
      </c>
      <c r="AS70" s="330">
        <f>BS1-BQ1</f>
        <v>4.1961564265154822E-3</v>
      </c>
      <c r="AT70" s="498">
        <f>'(Cullen 2010 Fixed)'!N22-'(Cullen 2010 Fixed)'!N21</f>
        <v>7.5312499999999338E-4</v>
      </c>
      <c r="AU70" s="330">
        <f>'(Cullen 2010 Mobile)'!M19-'(Cullen 2010 Mobile)'!M18</f>
        <v>1.680555555555463E-4</v>
      </c>
      <c r="AV70" s="773" t="s">
        <v>310</v>
      </c>
      <c r="AW70" s="752"/>
      <c r="AX70" s="787"/>
      <c r="BA70" s="327" t="s">
        <v>248</v>
      </c>
      <c r="BB70" s="332">
        <f>$AQ$9</f>
        <v>41256</v>
      </c>
      <c r="BC70" s="330">
        <f t="shared" si="43"/>
        <v>0.1048</v>
      </c>
      <c r="BD70" s="333">
        <f>$AR$9</f>
        <v>0.1048</v>
      </c>
      <c r="BE70" s="330"/>
      <c r="BS70" s="330"/>
    </row>
    <row r="71" spans="2:88">
      <c r="B71" s="166"/>
      <c r="C71" s="191" t="s">
        <v>148</v>
      </c>
      <c r="D71" s="691">
        <v>6</v>
      </c>
      <c r="E71" s="140">
        <v>3.6143766784206774</v>
      </c>
      <c r="F71" s="141">
        <v>4.1658338440257703</v>
      </c>
      <c r="G71" s="141">
        <v>4.7172910096308636</v>
      </c>
      <c r="H71" s="141">
        <v>5.0312487591000785</v>
      </c>
      <c r="I71" s="141">
        <v>5.3452065085692935</v>
      </c>
      <c r="J71" s="141">
        <v>5.6591642580385075</v>
      </c>
      <c r="K71" s="141">
        <v>5.7475246083569802</v>
      </c>
      <c r="L71" s="693">
        <v>5.835884958675452</v>
      </c>
      <c r="M71" s="141" t="s">
        <v>165</v>
      </c>
      <c r="N71" s="141" t="s">
        <v>165</v>
      </c>
      <c r="O71" s="141" t="s">
        <v>165</v>
      </c>
      <c r="P71" s="141" t="s">
        <v>165</v>
      </c>
      <c r="Q71" s="153" t="s">
        <v>165</v>
      </c>
      <c r="R71" s="166"/>
      <c r="T71" s="885"/>
      <c r="U71" s="885"/>
      <c r="V71" s="885"/>
      <c r="W71" s="885"/>
      <c r="X71" s="885"/>
      <c r="Y71" s="885"/>
      <c r="Z71" s="885"/>
      <c r="AA71" s="769"/>
      <c r="AB71" s="772"/>
      <c r="AC71" s="772"/>
      <c r="AD71" s="885"/>
      <c r="AE71" s="885"/>
      <c r="AF71" s="885"/>
      <c r="AG71" s="885"/>
      <c r="AH71" s="885"/>
      <c r="AI71" s="769"/>
      <c r="AJ71" s="753"/>
      <c r="AO71" s="787"/>
      <c r="AP71" s="787"/>
      <c r="AQ71" s="773">
        <v>2010</v>
      </c>
      <c r="AR71" s="330">
        <f>BC65-BC1</f>
        <v>1.962414785638536E-3</v>
      </c>
      <c r="AS71" s="330">
        <f>BS63-BS1</f>
        <v>1.9455158309347048E-3</v>
      </c>
      <c r="AT71" s="498">
        <f>'(Cullen 2010 Fixed)'!Q19-'(Cullen 2010 Fixed)'!N22</f>
        <v>1.2175000000000005E-2</v>
      </c>
      <c r="AU71" s="330">
        <f>'(Cullen 2010 Mobile)'!O16-'(Cullen 2010 Mobile)'!M19</f>
        <v>8.3999999999999908E-3</v>
      </c>
      <c r="AV71" s="773" t="s">
        <v>312</v>
      </c>
      <c r="AW71" s="752"/>
      <c r="AX71" s="787"/>
      <c r="BA71" s="329" t="s">
        <v>260</v>
      </c>
      <c r="BB71" s="331">
        <f>$AQ$5</f>
        <v>41351</v>
      </c>
      <c r="BC71" s="330">
        <f t="shared" si="43"/>
        <v>0.1053</v>
      </c>
      <c r="BD71" s="330">
        <f>$AR$5</f>
        <v>0.1053</v>
      </c>
      <c r="BE71" s="330"/>
    </row>
    <row r="72" spans="2:88">
      <c r="B72" s="166"/>
      <c r="C72" s="192" t="str">
        <f>'[1]Calculation Rf &amp; Cd'!$BJ$1</f>
        <v>BB</v>
      </c>
      <c r="D72" s="691">
        <v>7</v>
      </c>
      <c r="E72" s="142">
        <v>4.095679226191379</v>
      </c>
      <c r="F72" s="141">
        <v>4.7681072516690834</v>
      </c>
      <c r="G72" s="143">
        <v>5.440535277146787</v>
      </c>
      <c r="H72" s="141">
        <v>5.8181214767221592</v>
      </c>
      <c r="I72" s="141">
        <v>6.1957076762975314</v>
      </c>
      <c r="J72" s="143">
        <v>6.5732938758729036</v>
      </c>
      <c r="K72" s="141">
        <v>6.6587973790576171</v>
      </c>
      <c r="L72" s="694">
        <v>6.7443008822423307</v>
      </c>
      <c r="M72" s="141" t="s">
        <v>165</v>
      </c>
      <c r="N72" s="141" t="s">
        <v>165</v>
      </c>
      <c r="O72" s="141" t="s">
        <v>165</v>
      </c>
      <c r="P72" s="141" t="s">
        <v>165</v>
      </c>
      <c r="Q72" s="153" t="s">
        <v>165</v>
      </c>
      <c r="R72" s="166"/>
      <c r="T72" s="885"/>
      <c r="U72" s="885"/>
      <c r="V72" s="885"/>
      <c r="W72" s="885"/>
      <c r="X72" s="885"/>
      <c r="Y72" s="885"/>
      <c r="Z72" s="885"/>
      <c r="AA72" s="769"/>
      <c r="AB72" s="772"/>
      <c r="AC72" s="772"/>
      <c r="AD72" s="885"/>
      <c r="AE72" s="885"/>
      <c r="AF72" s="885"/>
      <c r="AG72" s="885"/>
      <c r="AH72" s="885"/>
      <c r="AI72" s="769"/>
      <c r="AJ72" s="753"/>
      <c r="AO72" s="787"/>
      <c r="AP72" s="787"/>
      <c r="AQ72" s="773" t="s">
        <v>169</v>
      </c>
      <c r="AR72" s="330">
        <f>BC72-BC65</f>
        <v>1.8075170428722934E-2</v>
      </c>
      <c r="AS72" s="330">
        <f>BS69-BS63</f>
        <v>3.995896833813059E-2</v>
      </c>
      <c r="AT72" s="498">
        <f>'(Cullen 2010 Fixed)'!C20-'(Cullen 2010 Fixed)'!Q19</f>
        <v>1.7500000000000002E-2</v>
      </c>
      <c r="AU72" s="330">
        <f>'(Cullen 2010 Mobile)'!C16-'(Cullen 2010 Mobile)'!O16</f>
        <v>1.8800000000000011E-2</v>
      </c>
      <c r="AV72" s="773" t="s">
        <v>169</v>
      </c>
      <c r="AW72" s="752"/>
      <c r="AX72" s="787"/>
      <c r="BA72" s="327" t="s">
        <v>256</v>
      </c>
      <c r="BB72" s="331">
        <f>$AQ$18</f>
        <v>41185</v>
      </c>
      <c r="BC72" s="330">
        <f t="shared" si="43"/>
        <v>0.11700000000000001</v>
      </c>
      <c r="BD72" s="330">
        <f>$AR$18</f>
        <v>0.11700000000000001</v>
      </c>
      <c r="BE72" s="330"/>
    </row>
    <row r="73" spans="2:88">
      <c r="B73" s="166"/>
      <c r="C73" s="193" t="s">
        <v>149</v>
      </c>
      <c r="D73" s="691">
        <v>8</v>
      </c>
      <c r="E73" s="144">
        <v>4.6732422835162213</v>
      </c>
      <c r="F73" s="141">
        <v>5.4908353408410582</v>
      </c>
      <c r="G73" s="126">
        <v>6.3084283981658951</v>
      </c>
      <c r="H73" s="141">
        <v>6.7623687378686563</v>
      </c>
      <c r="I73" s="141">
        <v>7.2163090775714176</v>
      </c>
      <c r="J73" s="126">
        <v>7.6702494172741789</v>
      </c>
      <c r="K73" s="141">
        <v>6.9625549692911628</v>
      </c>
      <c r="L73" s="695">
        <v>7.8343999905225852</v>
      </c>
      <c r="M73" s="141" t="s">
        <v>165</v>
      </c>
      <c r="N73" s="141" t="s">
        <v>165</v>
      </c>
      <c r="O73" s="141" t="s">
        <v>165</v>
      </c>
      <c r="P73" s="141" t="s">
        <v>165</v>
      </c>
      <c r="Q73" s="153" t="s">
        <v>165</v>
      </c>
      <c r="R73" s="166"/>
      <c r="T73" s="885"/>
      <c r="U73" s="885"/>
      <c r="V73" s="885"/>
      <c r="W73" s="885"/>
      <c r="X73" s="885"/>
      <c r="Y73" s="885"/>
      <c r="Z73" s="885"/>
      <c r="AA73" s="769"/>
      <c r="AB73" s="772"/>
      <c r="AC73" s="772"/>
      <c r="AD73" s="885"/>
      <c r="AE73" s="885"/>
      <c r="AF73" s="885"/>
      <c r="AG73" s="885"/>
      <c r="AH73" s="885"/>
      <c r="AI73" s="769"/>
      <c r="AJ73" s="753"/>
      <c r="AO73" s="787"/>
      <c r="AP73" s="787"/>
      <c r="AQ73" s="787"/>
      <c r="AV73" s="787"/>
      <c r="AW73" s="787"/>
      <c r="AX73" s="787"/>
    </row>
    <row r="74" spans="2:88" ht="13.8">
      <c r="B74" s="166"/>
      <c r="C74" s="193" t="s">
        <v>141</v>
      </c>
      <c r="D74" s="691">
        <v>9</v>
      </c>
      <c r="E74" s="144">
        <v>5.3663179523060318</v>
      </c>
      <c r="F74" s="141">
        <v>6.3581090478474289</v>
      </c>
      <c r="G74" s="126">
        <v>7.3499001433888251</v>
      </c>
      <c r="H74" s="141">
        <v>7.8954654512444531</v>
      </c>
      <c r="I74" s="141">
        <v>8.4410307591000819</v>
      </c>
      <c r="J74" s="126">
        <v>8.9865960669557108</v>
      </c>
      <c r="K74" s="141">
        <v>7.2663125595247084</v>
      </c>
      <c r="L74" s="695">
        <v>9.1425189204588921</v>
      </c>
      <c r="M74" s="141" t="s">
        <v>165</v>
      </c>
      <c r="N74" s="141" t="s">
        <v>165</v>
      </c>
      <c r="O74" s="141" t="s">
        <v>165</v>
      </c>
      <c r="P74" s="141" t="s">
        <v>165</v>
      </c>
      <c r="Q74" s="153" t="s">
        <v>165</v>
      </c>
      <c r="R74" s="166"/>
      <c r="T74" s="885"/>
      <c r="U74" s="885"/>
      <c r="V74" s="885"/>
      <c r="W74" s="889"/>
      <c r="X74" s="885"/>
      <c r="Y74" s="885"/>
      <c r="Z74" s="885"/>
      <c r="AA74" s="769"/>
      <c r="AB74" s="772"/>
      <c r="AC74" s="772"/>
      <c r="AD74" s="885"/>
      <c r="AE74" s="885"/>
      <c r="AF74" s="885"/>
      <c r="AG74" s="885"/>
      <c r="AH74" s="885"/>
      <c r="AI74" s="769"/>
      <c r="AJ74" s="753"/>
      <c r="AO74" s="787"/>
      <c r="AP74" s="787"/>
      <c r="AQ74" s="787"/>
      <c r="AV74" s="787"/>
      <c r="AW74" s="787"/>
      <c r="AX74" s="787"/>
    </row>
    <row r="75" spans="2:88" ht="13.8">
      <c r="B75" s="166"/>
      <c r="C75" s="193" t="s">
        <v>150</v>
      </c>
      <c r="D75" s="691">
        <v>10</v>
      </c>
      <c r="E75" s="144">
        <v>6.0593936210958423</v>
      </c>
      <c r="F75" s="141">
        <v>7.2253827548537988</v>
      </c>
      <c r="G75" s="126">
        <v>8.3913718886117561</v>
      </c>
      <c r="H75" s="141">
        <v>9.0285621646202507</v>
      </c>
      <c r="I75" s="141">
        <v>9.6657524406287472</v>
      </c>
      <c r="J75" s="126">
        <v>10.302942716637242</v>
      </c>
      <c r="K75" s="141">
        <v>10.37679028351622</v>
      </c>
      <c r="L75" s="695">
        <v>10.450637850395198</v>
      </c>
      <c r="M75" s="141" t="s">
        <v>165</v>
      </c>
      <c r="N75" s="141" t="s">
        <v>165</v>
      </c>
      <c r="O75" s="141" t="s">
        <v>165</v>
      </c>
      <c r="P75" s="141" t="s">
        <v>165</v>
      </c>
      <c r="Q75" s="153" t="s">
        <v>165</v>
      </c>
      <c r="R75" s="166"/>
      <c r="T75" s="885"/>
      <c r="U75" s="885"/>
      <c r="V75" s="885"/>
      <c r="W75" s="889"/>
      <c r="X75" s="885"/>
      <c r="Y75" s="885"/>
      <c r="Z75" s="885"/>
      <c r="AA75" s="769"/>
      <c r="AB75" s="772"/>
      <c r="AC75" s="772"/>
      <c r="AD75" s="885"/>
      <c r="AE75" s="885"/>
      <c r="AF75" s="885"/>
      <c r="AG75" s="885"/>
      <c r="AH75" s="885"/>
      <c r="AI75" s="769"/>
      <c r="AJ75" s="753"/>
      <c r="AO75" s="787"/>
      <c r="AP75" s="787"/>
      <c r="AQ75" s="787"/>
      <c r="AV75" s="787"/>
      <c r="AW75" s="787"/>
      <c r="AX75" s="787"/>
    </row>
    <row r="76" spans="2:88" ht="13.8">
      <c r="B76" s="166"/>
      <c r="C76" s="194" t="s">
        <v>166</v>
      </c>
      <c r="D76" s="691">
        <v>11</v>
      </c>
      <c r="E76" s="145">
        <v>6.7524692898856529</v>
      </c>
      <c r="F76" s="146">
        <v>8.0926564618601695</v>
      </c>
      <c r="G76" s="127">
        <v>9.4328436338346862</v>
      </c>
      <c r="H76" s="146">
        <v>10.161658877996048</v>
      </c>
      <c r="I76" s="146">
        <v>10.890474122157411</v>
      </c>
      <c r="J76" s="127">
        <v>11.619289366318773</v>
      </c>
      <c r="K76" s="146">
        <v>11.689023073325139</v>
      </c>
      <c r="L76" s="696">
        <v>11.758756780331504</v>
      </c>
      <c r="M76" s="146" t="s">
        <v>165</v>
      </c>
      <c r="N76" s="146" t="s">
        <v>165</v>
      </c>
      <c r="O76" s="146" t="s">
        <v>165</v>
      </c>
      <c r="P76" s="146" t="s">
        <v>165</v>
      </c>
      <c r="Q76" s="154" t="s">
        <v>165</v>
      </c>
      <c r="R76" s="166"/>
      <c r="S76" s="112"/>
      <c r="T76" s="885"/>
      <c r="U76" s="885"/>
      <c r="V76" s="885"/>
      <c r="W76" s="889"/>
      <c r="X76" s="885"/>
      <c r="Y76" s="885"/>
      <c r="Z76" s="885"/>
      <c r="AA76" s="769"/>
      <c r="AB76" s="772"/>
      <c r="AC76" s="772"/>
      <c r="AD76" s="885"/>
      <c r="AE76" s="885"/>
      <c r="AF76" s="885"/>
      <c r="AG76" s="885"/>
      <c r="AH76" s="885"/>
      <c r="AI76" s="769"/>
      <c r="AJ76" s="753"/>
      <c r="AK76" s="161"/>
      <c r="AL76" s="161"/>
      <c r="AM76" s="161"/>
      <c r="AN76" s="446"/>
      <c r="AO76" s="787"/>
      <c r="AP76" s="787"/>
      <c r="AQ76" s="787"/>
      <c r="AV76" s="787"/>
      <c r="AW76" s="787"/>
      <c r="AX76" s="787"/>
    </row>
    <row r="77" spans="2:88" ht="13.8">
      <c r="B77" s="214" t="s">
        <v>145</v>
      </c>
      <c r="C77" s="187"/>
      <c r="D77" s="697">
        <v>0.15</v>
      </c>
      <c r="E77" s="698"/>
      <c r="F77" s="699"/>
      <c r="G77" s="699"/>
      <c r="H77" s="699"/>
      <c r="I77" s="699"/>
      <c r="J77" s="699"/>
      <c r="K77" s="699"/>
      <c r="L77" s="699"/>
      <c r="M77" s="699"/>
      <c r="N77" s="699"/>
      <c r="O77" s="699"/>
      <c r="P77" s="699"/>
      <c r="Q77" s="700"/>
      <c r="R77" s="166"/>
      <c r="S77" s="112"/>
      <c r="T77" s="885"/>
      <c r="U77" s="885"/>
      <c r="V77" s="885"/>
      <c r="W77" s="889"/>
      <c r="X77" s="885"/>
      <c r="Y77" s="885"/>
      <c r="Z77" s="885"/>
      <c r="AA77" s="769"/>
      <c r="AB77" s="772"/>
      <c r="AC77" s="772"/>
      <c r="AD77" s="885"/>
      <c r="AE77" s="885"/>
      <c r="AF77" s="885"/>
      <c r="AG77" s="885"/>
      <c r="AH77" s="885"/>
      <c r="AI77" s="769"/>
      <c r="AJ77" s="753"/>
      <c r="AK77" s="161"/>
      <c r="AL77" s="161"/>
      <c r="AM77" s="161"/>
      <c r="AN77" s="446"/>
      <c r="AO77" s="787"/>
      <c r="AP77" s="787"/>
      <c r="AQ77" s="787"/>
      <c r="AV77" s="787"/>
      <c r="AW77" s="787"/>
      <c r="AX77" s="787"/>
    </row>
    <row r="78" spans="2:88" ht="14.4" thickBot="1">
      <c r="B78" s="214" t="s">
        <v>4</v>
      </c>
      <c r="C78" s="187"/>
      <c r="D78" s="701">
        <v>2.7898562271062275</v>
      </c>
      <c r="E78" s="702"/>
      <c r="F78" s="703"/>
      <c r="G78" s="704"/>
      <c r="H78" s="703"/>
      <c r="I78" s="703"/>
      <c r="J78" s="704"/>
      <c r="K78" s="703"/>
      <c r="L78" s="156"/>
      <c r="M78" s="703"/>
      <c r="N78" s="703"/>
      <c r="O78" s="703"/>
      <c r="P78" s="703"/>
      <c r="Q78" s="705"/>
      <c r="R78" s="166"/>
      <c r="S78" s="112"/>
      <c r="T78" s="885"/>
      <c r="U78" s="885"/>
      <c r="V78" s="885"/>
      <c r="W78" s="889"/>
      <c r="X78" s="885"/>
      <c r="Y78" s="885"/>
      <c r="Z78" s="885"/>
      <c r="AA78" s="769"/>
      <c r="AB78" s="772"/>
      <c r="AC78" s="772"/>
      <c r="AD78" s="885"/>
      <c r="AE78" s="885"/>
      <c r="AF78" s="885"/>
      <c r="AG78" s="885"/>
      <c r="AH78" s="885"/>
      <c r="AI78" s="769"/>
      <c r="AJ78" s="753"/>
      <c r="AK78" s="161"/>
      <c r="AL78" s="161"/>
      <c r="AM78" s="161"/>
      <c r="AN78" s="446"/>
      <c r="AO78" s="787"/>
      <c r="AP78" s="787"/>
      <c r="AQ78" s="787"/>
      <c r="AV78" s="787"/>
      <c r="AW78" s="787"/>
      <c r="AX78" s="787"/>
    </row>
    <row r="79" spans="2:88" ht="13.8">
      <c r="B79" s="215"/>
      <c r="C79" s="184"/>
      <c r="D79" s="185"/>
      <c r="E79" s="182"/>
      <c r="F79" s="182"/>
      <c r="G79" s="186"/>
      <c r="H79" s="182"/>
      <c r="I79" s="182"/>
      <c r="J79" s="186"/>
      <c r="K79" s="182"/>
      <c r="L79" s="182"/>
      <c r="M79" s="186"/>
      <c r="N79" s="182"/>
      <c r="O79" s="182"/>
      <c r="P79" s="186"/>
      <c r="Q79" s="182"/>
      <c r="R79" s="182"/>
      <c r="S79" s="112"/>
      <c r="T79" s="885"/>
      <c r="U79" s="885"/>
      <c r="V79" s="885"/>
      <c r="W79" s="889"/>
      <c r="X79" s="885"/>
      <c r="Y79" s="885"/>
      <c r="Z79" s="885"/>
      <c r="AA79" s="769"/>
      <c r="AB79" s="772"/>
      <c r="AC79" s="772"/>
      <c r="AD79" s="885"/>
      <c r="AE79" s="885"/>
      <c r="AF79" s="885"/>
      <c r="AG79" s="885"/>
      <c r="AH79" s="885"/>
      <c r="AI79" s="769"/>
      <c r="AJ79" s="753"/>
      <c r="AK79" s="161"/>
      <c r="AL79" s="161"/>
      <c r="AM79" s="161"/>
      <c r="AN79" s="446"/>
      <c r="AO79" s="787"/>
      <c r="AP79" s="787"/>
      <c r="AQ79" s="787"/>
      <c r="AV79" s="787"/>
      <c r="AW79" s="787"/>
      <c r="AX79" s="787"/>
    </row>
    <row r="80" spans="2:88">
      <c r="B80" s="160"/>
      <c r="C80" s="49"/>
      <c r="D80" s="89"/>
      <c r="E80" s="90"/>
      <c r="F80" s="90"/>
      <c r="G80" s="87"/>
      <c r="H80" s="90"/>
      <c r="I80" s="90"/>
      <c r="J80" s="87"/>
      <c r="K80" s="90"/>
      <c r="L80" s="90"/>
      <c r="M80" s="87"/>
      <c r="N80" s="90"/>
      <c r="O80" s="90"/>
      <c r="P80" s="87"/>
      <c r="Q80" s="90"/>
      <c r="R80" s="90"/>
      <c r="S80" s="112"/>
      <c r="T80" s="123"/>
      <c r="AA80" s="90"/>
      <c r="AD80" s="123"/>
      <c r="AE80" s="123"/>
      <c r="AF80" s="123"/>
      <c r="AG80" s="123"/>
      <c r="AI80" s="90"/>
      <c r="AJ80" s="161"/>
      <c r="AK80" s="161"/>
      <c r="AL80" s="161"/>
      <c r="AM80" s="161"/>
      <c r="AN80" s="446"/>
      <c r="AO80" s="787"/>
      <c r="AP80" s="787"/>
      <c r="AQ80" s="787"/>
      <c r="AV80" s="787"/>
      <c r="AW80" s="787"/>
      <c r="AX80" s="787"/>
    </row>
    <row r="81" spans="1:98" ht="13.8" thickBot="1">
      <c r="B81" s="235" t="s">
        <v>180</v>
      </c>
      <c r="C81" s="184"/>
      <c r="D81" s="183" t="s">
        <v>183</v>
      </c>
      <c r="E81" s="215" t="s">
        <v>135</v>
      </c>
      <c r="F81" s="236" t="s">
        <v>136</v>
      </c>
      <c r="G81" s="183" t="s">
        <v>137</v>
      </c>
      <c r="H81" s="215" t="s">
        <v>135</v>
      </c>
      <c r="I81" s="236" t="s">
        <v>136</v>
      </c>
      <c r="J81" s="183" t="s">
        <v>168</v>
      </c>
      <c r="K81" s="215" t="s">
        <v>135</v>
      </c>
      <c r="L81" s="236" t="s">
        <v>136</v>
      </c>
      <c r="M81" s="183" t="s">
        <v>2</v>
      </c>
      <c r="N81" s="215" t="s">
        <v>135</v>
      </c>
      <c r="O81" s="236" t="s">
        <v>136</v>
      </c>
      <c r="P81" s="183" t="s">
        <v>76</v>
      </c>
      <c r="Q81" s="215" t="s">
        <v>135</v>
      </c>
      <c r="R81" s="236" t="s">
        <v>136</v>
      </c>
      <c r="AO81" s="787"/>
      <c r="AP81" s="787"/>
      <c r="AQ81" s="787"/>
      <c r="AV81" s="787"/>
      <c r="AW81" s="787"/>
      <c r="AX81" s="787"/>
    </row>
    <row r="82" spans="1:98">
      <c r="B82" s="216" t="s">
        <v>184</v>
      </c>
      <c r="C82" s="196" t="s">
        <v>185</v>
      </c>
      <c r="D82" s="180">
        <v>0.4</v>
      </c>
      <c r="E82" s="871">
        <v>0.2</v>
      </c>
      <c r="F82" s="872">
        <v>0.5</v>
      </c>
      <c r="G82" s="181">
        <v>0.44444444444444442</v>
      </c>
      <c r="H82" s="871">
        <v>0.3888888888888889</v>
      </c>
      <c r="I82" s="872">
        <v>0.5</v>
      </c>
      <c r="J82" s="1208">
        <v>0.4729330941660323</v>
      </c>
      <c r="K82" s="871">
        <v>0.42293309416603231</v>
      </c>
      <c r="L82" s="871">
        <v>0.52293309416603229</v>
      </c>
      <c r="M82" s="181">
        <v>0.28041293785321875</v>
      </c>
      <c r="N82" s="871">
        <v>0.2</v>
      </c>
      <c r="O82" s="872">
        <v>0.4561905930983241</v>
      </c>
      <c r="P82" s="1208">
        <v>0.27500000000000002</v>
      </c>
      <c r="Q82" s="871">
        <v>0.25</v>
      </c>
      <c r="R82" s="877">
        <v>0.3</v>
      </c>
      <c r="AO82" s="787"/>
      <c r="AP82" s="787"/>
      <c r="AQ82" s="787"/>
      <c r="AV82" s="787"/>
      <c r="AW82" s="787"/>
      <c r="AX82" s="787"/>
    </row>
    <row r="83" spans="1:98">
      <c r="B83" s="217" t="s">
        <v>172</v>
      </c>
      <c r="C83" s="727" t="s">
        <v>185</v>
      </c>
      <c r="D83" s="730">
        <v>0.374</v>
      </c>
      <c r="E83" s="873">
        <v>0.17</v>
      </c>
      <c r="F83" s="874">
        <v>0.47400000000000003</v>
      </c>
      <c r="G83" s="731">
        <v>0.44444444444444442</v>
      </c>
      <c r="H83" s="873">
        <v>0.3888888888888889</v>
      </c>
      <c r="I83" s="874">
        <v>0.5</v>
      </c>
      <c r="J83" s="1209">
        <v>0.48681573444260695</v>
      </c>
      <c r="K83" s="873">
        <v>0.43681573444260696</v>
      </c>
      <c r="L83" s="873">
        <v>0.536815734442607</v>
      </c>
      <c r="M83" s="731">
        <v>0.1914853784153166</v>
      </c>
      <c r="N83" s="873">
        <v>0.1</v>
      </c>
      <c r="O83" s="874">
        <v>0.33</v>
      </c>
      <c r="P83" s="1209">
        <v>0.18333333333333335</v>
      </c>
      <c r="Q83" s="873">
        <v>0.16666666666666666</v>
      </c>
      <c r="R83" s="878">
        <v>0.2</v>
      </c>
      <c r="AO83" s="787"/>
      <c r="AP83" s="787"/>
      <c r="AQ83" s="787"/>
      <c r="AV83" s="787"/>
      <c r="AW83" s="787"/>
      <c r="AX83" s="787"/>
    </row>
    <row r="84" spans="1:98">
      <c r="B84" s="216" t="s">
        <v>187</v>
      </c>
      <c r="C84" s="196" t="s">
        <v>185</v>
      </c>
      <c r="D84" s="726" t="s">
        <v>143</v>
      </c>
      <c r="E84" s="875" t="s">
        <v>139</v>
      </c>
      <c r="F84" s="876" t="s">
        <v>142</v>
      </c>
      <c r="G84" s="168" t="s">
        <v>141</v>
      </c>
      <c r="H84" s="875" t="s">
        <v>149</v>
      </c>
      <c r="I84" s="876" t="s">
        <v>141</v>
      </c>
      <c r="J84" s="725" t="s">
        <v>140</v>
      </c>
      <c r="K84" s="875" t="s">
        <v>142</v>
      </c>
      <c r="L84" s="875" t="s">
        <v>171</v>
      </c>
      <c r="M84" s="168" t="s">
        <v>140</v>
      </c>
      <c r="N84" s="875" t="s">
        <v>142</v>
      </c>
      <c r="O84" s="876" t="s">
        <v>171</v>
      </c>
      <c r="P84" s="725" t="s">
        <v>140</v>
      </c>
      <c r="Q84" s="875" t="s">
        <v>142</v>
      </c>
      <c r="R84" s="879" t="s">
        <v>171</v>
      </c>
      <c r="AO84" s="787"/>
      <c r="AP84" s="787"/>
      <c r="AQ84" s="787"/>
      <c r="AV84" s="787"/>
      <c r="AW84" s="787"/>
      <c r="AX84" s="787"/>
    </row>
    <row r="85" spans="1:98">
      <c r="B85" s="217"/>
      <c r="C85" s="727" t="s">
        <v>185</v>
      </c>
      <c r="D85" s="728" t="s">
        <v>143</v>
      </c>
      <c r="E85" s="875" t="s">
        <v>139</v>
      </c>
      <c r="F85" s="876" t="s">
        <v>142</v>
      </c>
      <c r="G85" s="729" t="s">
        <v>141</v>
      </c>
      <c r="H85" s="875" t="s">
        <v>149</v>
      </c>
      <c r="I85" s="876" t="s">
        <v>141</v>
      </c>
      <c r="J85" s="729" t="s">
        <v>140</v>
      </c>
      <c r="K85" s="875" t="s">
        <v>142</v>
      </c>
      <c r="L85" s="875" t="s">
        <v>171</v>
      </c>
      <c r="M85" s="729" t="s">
        <v>140</v>
      </c>
      <c r="N85" s="875" t="s">
        <v>142</v>
      </c>
      <c r="O85" s="876" t="s">
        <v>171</v>
      </c>
      <c r="P85" s="729" t="s">
        <v>140</v>
      </c>
      <c r="Q85" s="875" t="s">
        <v>142</v>
      </c>
      <c r="R85" s="880" t="s">
        <v>171</v>
      </c>
      <c r="AO85" s="787"/>
      <c r="AP85" s="787"/>
      <c r="AQ85" s="787"/>
      <c r="AV85" s="787"/>
      <c r="AW85" s="787"/>
      <c r="AX85" s="787"/>
    </row>
    <row r="86" spans="1:98" ht="13.8" thickBot="1">
      <c r="B86" s="218" t="s">
        <v>190</v>
      </c>
      <c r="C86" s="197"/>
      <c r="D86" s="713">
        <v>0.55555555555555558</v>
      </c>
      <c r="E86" s="869">
        <v>0.2857142857142857</v>
      </c>
      <c r="F86" s="870">
        <v>0.66666666666666663</v>
      </c>
      <c r="G86" s="714">
        <v>0.69618557805635917</v>
      </c>
      <c r="H86" s="869">
        <v>0.33907333425173347</v>
      </c>
      <c r="I86" s="870">
        <v>0.83831565413050457</v>
      </c>
      <c r="J86" s="715">
        <v>0.81672559734276229</v>
      </c>
      <c r="K86" s="869">
        <v>0.38480966156954588</v>
      </c>
      <c r="L86" s="869">
        <v>0.98544335767093716</v>
      </c>
      <c r="M86" s="714">
        <v>0.14705882352941177</v>
      </c>
      <c r="N86" s="869">
        <v>0.13071895424836602</v>
      </c>
      <c r="O86" s="870">
        <v>0.16806722689075629</v>
      </c>
      <c r="P86" s="715">
        <v>0.14705882352941177</v>
      </c>
      <c r="Q86" s="869">
        <v>0.13071895424836602</v>
      </c>
      <c r="R86" s="881">
        <v>0.16806722689075629</v>
      </c>
      <c r="AO86" s="787"/>
      <c r="AP86" s="787"/>
      <c r="AQ86" s="787"/>
      <c r="AV86" s="787"/>
      <c r="AW86" s="787"/>
      <c r="AX86" s="787"/>
    </row>
    <row r="87" spans="1:98">
      <c r="B87" s="184"/>
      <c r="C87" s="184"/>
      <c r="D87" s="184"/>
      <c r="E87" s="167"/>
      <c r="F87" s="167"/>
      <c r="G87" s="184"/>
      <c r="H87" s="167"/>
      <c r="I87" s="167"/>
      <c r="J87" s="184"/>
      <c r="K87" s="167"/>
      <c r="L87" s="167"/>
      <c r="M87" s="184"/>
      <c r="N87" s="167"/>
      <c r="O87" s="167"/>
      <c r="P87" s="184"/>
      <c r="Q87" s="167"/>
      <c r="R87" s="167"/>
      <c r="AO87" s="787"/>
      <c r="AP87" s="787"/>
      <c r="AQ87" s="787"/>
      <c r="AV87" s="787"/>
      <c r="AW87" s="787"/>
      <c r="AX87" s="787"/>
    </row>
    <row r="88" spans="1:98">
      <c r="B88" s="160"/>
      <c r="C88" s="160"/>
      <c r="D88" s="160"/>
      <c r="G88" s="160"/>
      <c r="J88" s="160"/>
      <c r="M88" s="160"/>
      <c r="P88" s="160"/>
      <c r="AO88" s="787"/>
      <c r="AP88" s="787"/>
      <c r="AQ88" s="787"/>
      <c r="AV88" s="787"/>
      <c r="AW88" s="787"/>
      <c r="AX88" s="787"/>
    </row>
    <row r="89" spans="1:98" ht="13.8" thickBot="1">
      <c r="B89" s="235" t="s">
        <v>182</v>
      </c>
      <c r="C89" s="198"/>
      <c r="D89" s="183" t="s">
        <v>183</v>
      </c>
      <c r="E89" s="215" t="s">
        <v>135</v>
      </c>
      <c r="F89" s="236" t="s">
        <v>136</v>
      </c>
      <c r="G89" s="183" t="s">
        <v>137</v>
      </c>
      <c r="H89" s="215" t="s">
        <v>135</v>
      </c>
      <c r="I89" s="236" t="s">
        <v>136</v>
      </c>
      <c r="J89" s="183" t="s">
        <v>168</v>
      </c>
      <c r="K89" s="215" t="s">
        <v>135</v>
      </c>
      <c r="L89" s="236" t="s">
        <v>136</v>
      </c>
      <c r="M89" s="183" t="s">
        <v>2</v>
      </c>
      <c r="N89" s="215" t="s">
        <v>135</v>
      </c>
      <c r="O89" s="236" t="s">
        <v>136</v>
      </c>
      <c r="P89" s="183" t="s">
        <v>76</v>
      </c>
      <c r="Q89" s="215" t="s">
        <v>135</v>
      </c>
      <c r="R89" s="236" t="s">
        <v>136</v>
      </c>
      <c r="AO89" s="787"/>
      <c r="AP89" s="787"/>
      <c r="AQ89" s="787"/>
      <c r="AV89" s="787"/>
      <c r="AW89" s="787"/>
      <c r="AX89" s="787"/>
    </row>
    <row r="90" spans="1:98">
      <c r="B90" s="216" t="s">
        <v>186</v>
      </c>
      <c r="C90" s="183" t="s">
        <v>185</v>
      </c>
      <c r="D90" s="174">
        <v>0.5</v>
      </c>
      <c r="E90" s="175">
        <v>0.47499999999999998</v>
      </c>
      <c r="F90" s="176">
        <v>0.52500000000000002</v>
      </c>
      <c r="G90" s="177">
        <v>0.6</v>
      </c>
      <c r="H90" s="175">
        <v>0.57499999999999996</v>
      </c>
      <c r="I90" s="176">
        <v>0.625</v>
      </c>
      <c r="J90" s="260">
        <v>0.6</v>
      </c>
      <c r="K90" s="175">
        <v>0.57499999999999996</v>
      </c>
      <c r="L90" s="176">
        <v>0.625</v>
      </c>
      <c r="M90" s="177">
        <v>0.6</v>
      </c>
      <c r="N90" s="175">
        <v>0.57499999999999996</v>
      </c>
      <c r="O90" s="176">
        <v>0.625</v>
      </c>
      <c r="P90" s="260">
        <v>0.6</v>
      </c>
      <c r="Q90" s="175">
        <v>0.57499999999999996</v>
      </c>
      <c r="R90" s="882">
        <v>0.625</v>
      </c>
      <c r="AO90" s="787"/>
      <c r="AP90" s="787"/>
      <c r="AQ90" s="787"/>
      <c r="AV90" s="787"/>
      <c r="AW90" s="787"/>
      <c r="AX90" s="787"/>
    </row>
    <row r="91" spans="1:98">
      <c r="B91" s="219"/>
      <c r="C91" s="199" t="s">
        <v>185</v>
      </c>
      <c r="D91" s="1149">
        <v>0.52500000000000002</v>
      </c>
      <c r="E91" s="1151">
        <v>0.5</v>
      </c>
      <c r="F91" s="1152">
        <v>0.55000000000000004</v>
      </c>
      <c r="G91" s="89">
        <v>0.6</v>
      </c>
      <c r="H91" s="1151">
        <v>0.57499999999999996</v>
      </c>
      <c r="I91" s="1152">
        <v>0.625</v>
      </c>
      <c r="J91" s="89">
        <v>0.6</v>
      </c>
      <c r="K91" s="1151">
        <v>0.57499999999999996</v>
      </c>
      <c r="L91" s="1152">
        <v>0.625</v>
      </c>
      <c r="M91" s="1150">
        <v>0.625</v>
      </c>
      <c r="N91" s="1151">
        <v>0.6</v>
      </c>
      <c r="O91" s="1152">
        <v>0.65</v>
      </c>
      <c r="P91" s="1150">
        <v>0.625</v>
      </c>
      <c r="Q91" s="1151">
        <v>0.6</v>
      </c>
      <c r="R91" s="1153">
        <v>0.65</v>
      </c>
      <c r="AO91" s="787"/>
      <c r="AP91" s="787"/>
      <c r="AQ91" s="787"/>
      <c r="AV91" s="787"/>
      <c r="AW91" s="787"/>
      <c r="AX91" s="787"/>
    </row>
    <row r="92" spans="1:98" ht="13.8" thickBot="1">
      <c r="B92" s="218" t="s">
        <v>179</v>
      </c>
      <c r="C92" s="200"/>
      <c r="D92" s="178">
        <v>0.8</v>
      </c>
      <c r="E92" s="242">
        <v>0.70000000000000007</v>
      </c>
      <c r="F92" s="243">
        <v>0.9</v>
      </c>
      <c r="G92" s="179">
        <v>0.8</v>
      </c>
      <c r="H92" s="242">
        <v>0.70000000000000007</v>
      </c>
      <c r="I92" s="243">
        <v>0.9</v>
      </c>
      <c r="J92" s="244">
        <v>0.8</v>
      </c>
      <c r="K92" s="868">
        <v>0.70000000000000007</v>
      </c>
      <c r="L92" s="868">
        <v>0.9</v>
      </c>
      <c r="M92" s="179">
        <v>0.8</v>
      </c>
      <c r="N92" s="242">
        <v>0.70000000000000007</v>
      </c>
      <c r="O92" s="243">
        <v>0.9</v>
      </c>
      <c r="P92" s="244">
        <v>0.8</v>
      </c>
      <c r="Q92" s="883">
        <v>0.70000000000000007</v>
      </c>
      <c r="R92" s="884">
        <v>0.9</v>
      </c>
      <c r="AO92" s="787"/>
      <c r="AP92" s="787"/>
      <c r="AQ92" s="787"/>
      <c r="AV92" s="787"/>
      <c r="AW92" s="787"/>
      <c r="AX92" s="787"/>
    </row>
    <row r="93" spans="1:98">
      <c r="B93" s="198"/>
      <c r="C93" s="198"/>
      <c r="D93" s="195"/>
      <c r="E93" s="167"/>
      <c r="F93" s="167"/>
      <c r="G93" s="184"/>
      <c r="H93" s="167"/>
      <c r="I93" s="167"/>
      <c r="J93" s="184"/>
      <c r="K93" s="167"/>
      <c r="L93" s="167"/>
      <c r="M93" s="184"/>
      <c r="N93" s="167"/>
      <c r="O93" s="167"/>
      <c r="P93" s="184"/>
      <c r="Q93" s="167"/>
      <c r="R93" s="167"/>
      <c r="AO93" s="787"/>
      <c r="AP93" s="787"/>
      <c r="AQ93" s="787"/>
      <c r="AV93" s="787"/>
      <c r="AW93" s="787"/>
      <c r="AX93" s="787"/>
    </row>
    <row r="94" spans="1:98" s="52" customFormat="1">
      <c r="A94" s="221"/>
      <c r="B94" s="168" t="s">
        <v>147</v>
      </c>
      <c r="C94" s="168" t="s">
        <v>185</v>
      </c>
      <c r="D94" s="233">
        <f>D90*(1+(1-D$7)*D$12)</f>
        <v>0.7200333333333333</v>
      </c>
      <c r="E94" s="163">
        <f t="shared" ref="E94:F95" si="44">E90*(1+(1-E$7)*E$12)</f>
        <v>0.55338687499999994</v>
      </c>
      <c r="F94" s="164">
        <f t="shared" si="44"/>
        <v>0.87155249999999995</v>
      </c>
      <c r="G94" s="233">
        <f t="shared" ref="G94:R94" si="45">G90*(1+(1-G$7)*G$12)</f>
        <v>0.916848</v>
      </c>
      <c r="H94" s="163">
        <f t="shared" si="45"/>
        <v>0.81653659090909081</v>
      </c>
      <c r="I94" s="164">
        <f t="shared" si="45"/>
        <v>1.0375624999999999</v>
      </c>
      <c r="J94" s="233">
        <f t="shared" si="45"/>
        <v>0.9553816018462058</v>
      </c>
      <c r="K94" s="163">
        <f t="shared" si="45"/>
        <v>0.85317819089266977</v>
      </c>
      <c r="L94" s="164">
        <f t="shared" si="45"/>
        <v>1.077227102789138</v>
      </c>
      <c r="M94" s="233">
        <f t="shared" si="45"/>
        <v>0.75433900080806593</v>
      </c>
      <c r="N94" s="163">
        <f t="shared" si="45"/>
        <v>0.6698893749999999</v>
      </c>
      <c r="O94" s="164">
        <f t="shared" si="45"/>
        <v>0.97109024628210672</v>
      </c>
      <c r="P94" s="233">
        <f t="shared" si="45"/>
        <v>0.7502296551724138</v>
      </c>
      <c r="Q94" s="163">
        <f t="shared" si="45"/>
        <v>0.70151916666666658</v>
      </c>
      <c r="R94" s="164">
        <f t="shared" si="45"/>
        <v>0.80181250000000004</v>
      </c>
      <c r="S94" s="500"/>
      <c r="T94" s="51"/>
      <c r="AA94" s="67"/>
      <c r="AB94" s="35"/>
      <c r="AC94" s="35"/>
      <c r="AD94" s="35"/>
      <c r="AE94" s="35"/>
      <c r="AF94" s="35"/>
      <c r="AG94" s="51"/>
      <c r="AJ94" s="31"/>
      <c r="AK94" s="31"/>
      <c r="AL94" s="31"/>
      <c r="AM94" s="31"/>
      <c r="AN94" s="293"/>
      <c r="AO94" s="788"/>
      <c r="AP94" s="788"/>
      <c r="AQ94" s="788"/>
      <c r="AV94" s="788"/>
      <c r="AW94" s="788"/>
      <c r="AX94" s="788"/>
      <c r="AY94" s="372"/>
      <c r="BO94" s="372"/>
      <c r="CE94" s="372"/>
      <c r="CT94" s="365"/>
    </row>
    <row r="95" spans="1:98" s="52" customFormat="1" ht="13.2" customHeight="1">
      <c r="A95" s="221"/>
      <c r="B95" s="171"/>
      <c r="C95" s="173" t="s">
        <v>185</v>
      </c>
      <c r="D95" s="234">
        <f>D91*(1+(1-D$7)*D$12)</f>
        <v>0.75603500000000001</v>
      </c>
      <c r="E95" s="169">
        <f t="shared" si="44"/>
        <v>0.58251249999999999</v>
      </c>
      <c r="F95" s="170">
        <f t="shared" si="44"/>
        <v>0.91305500000000006</v>
      </c>
      <c r="G95" s="234">
        <f t="shared" ref="G95:R95" si="46">G91*(1+(1-G$7)*G$12)</f>
        <v>0.916848</v>
      </c>
      <c r="H95" s="169">
        <f t="shared" si="46"/>
        <v>0.81653659090909081</v>
      </c>
      <c r="I95" s="170">
        <f t="shared" si="46"/>
        <v>1.0375624999999999</v>
      </c>
      <c r="J95" s="234">
        <f t="shared" si="46"/>
        <v>0.9553816018462058</v>
      </c>
      <c r="K95" s="169">
        <f t="shared" si="46"/>
        <v>0.85317819089266977</v>
      </c>
      <c r="L95" s="170">
        <f t="shared" si="46"/>
        <v>1.077227102789138</v>
      </c>
      <c r="M95" s="234">
        <f t="shared" si="46"/>
        <v>0.78576979250840195</v>
      </c>
      <c r="N95" s="169">
        <f t="shared" si="46"/>
        <v>0.69901499999999994</v>
      </c>
      <c r="O95" s="170">
        <f t="shared" si="46"/>
        <v>1.009933856133391</v>
      </c>
      <c r="P95" s="234">
        <f t="shared" si="46"/>
        <v>0.78148922413793109</v>
      </c>
      <c r="Q95" s="169">
        <f t="shared" si="46"/>
        <v>0.73202</v>
      </c>
      <c r="R95" s="170">
        <f t="shared" si="46"/>
        <v>0.8338850000000001</v>
      </c>
      <c r="S95" s="500"/>
      <c r="T95" s="51"/>
      <c r="AA95" s="67"/>
      <c r="AB95" s="35"/>
      <c r="AC95" s="35"/>
      <c r="AD95" s="35"/>
      <c r="AE95" s="35"/>
      <c r="AF95" s="35"/>
      <c r="AG95" s="51"/>
      <c r="AJ95" s="381"/>
      <c r="AK95" s="381"/>
      <c r="AL95" s="381"/>
      <c r="AM95" s="381"/>
      <c r="AN95" s="385"/>
      <c r="AO95" s="788"/>
      <c r="AP95" s="788"/>
      <c r="AQ95" s="788"/>
      <c r="AV95" s="788"/>
      <c r="AW95" s="788"/>
      <c r="AX95" s="788"/>
      <c r="AY95" s="372"/>
      <c r="BO95" s="372"/>
      <c r="CE95" s="372"/>
      <c r="CT95" s="365"/>
    </row>
    <row r="96" spans="1:98" ht="13.2" customHeight="1">
      <c r="B96" s="168" t="s">
        <v>438</v>
      </c>
      <c r="C96" s="168" t="s">
        <v>185</v>
      </c>
      <c r="D96" s="233">
        <f t="shared" ref="D96:R96" si="47">D94/(1+D12)</f>
        <v>0.43201999999999996</v>
      </c>
      <c r="E96" s="163">
        <f t="shared" si="47"/>
        <v>0.44270949999999998</v>
      </c>
      <c r="F96" s="164">
        <f t="shared" si="47"/>
        <v>0.43577624999999998</v>
      </c>
      <c r="G96" s="233">
        <f t="shared" si="47"/>
        <v>0.50936000000000003</v>
      </c>
      <c r="H96" s="163">
        <f t="shared" si="47"/>
        <v>0.4989945833333333</v>
      </c>
      <c r="I96" s="164">
        <f t="shared" si="47"/>
        <v>0.51878124999999997</v>
      </c>
      <c r="J96" s="233">
        <f t="shared" si="47"/>
        <v>0.50355002477577937</v>
      </c>
      <c r="K96" s="163">
        <f t="shared" si="47"/>
        <v>0.49234089874345516</v>
      </c>
      <c r="L96" s="164">
        <f t="shared" si="47"/>
        <v>0.51390940080810366</v>
      </c>
      <c r="M96" s="233">
        <f t="shared" si="47"/>
        <v>0.54281258545421462</v>
      </c>
      <c r="N96" s="163">
        <f t="shared" si="47"/>
        <v>0.53591149999999987</v>
      </c>
      <c r="O96" s="164">
        <f t="shared" si="47"/>
        <v>0.52808801087867485</v>
      </c>
      <c r="P96" s="233">
        <f t="shared" si="47"/>
        <v>0.54391649999999991</v>
      </c>
      <c r="Q96" s="163">
        <f t="shared" si="47"/>
        <v>0.52613937499999996</v>
      </c>
      <c r="R96" s="164">
        <f t="shared" si="47"/>
        <v>0.56126874999999998</v>
      </c>
      <c r="S96" s="501"/>
      <c r="AA96" s="48"/>
      <c r="AI96" s="379"/>
      <c r="AJ96" s="379"/>
      <c r="AK96" s="379"/>
      <c r="AL96" s="379"/>
      <c r="AM96" s="379"/>
      <c r="AN96" s="380"/>
      <c r="AO96" s="787"/>
      <c r="AP96" s="787"/>
      <c r="AQ96" s="787"/>
      <c r="AV96" s="787"/>
      <c r="AW96" s="787"/>
      <c r="AX96" s="787"/>
    </row>
    <row r="97" spans="1:98">
      <c r="B97" s="171"/>
      <c r="C97" s="173" t="s">
        <v>185</v>
      </c>
      <c r="D97" s="234">
        <f t="shared" ref="D97:R97" si="48">D95/(1+D12)</f>
        <v>0.453621</v>
      </c>
      <c r="E97" s="169">
        <f t="shared" si="48"/>
        <v>0.46600999999999998</v>
      </c>
      <c r="F97" s="170">
        <f t="shared" si="48"/>
        <v>0.45652750000000003</v>
      </c>
      <c r="G97" s="234">
        <f t="shared" si="48"/>
        <v>0.50936000000000003</v>
      </c>
      <c r="H97" s="169">
        <f t="shared" si="48"/>
        <v>0.4989945833333333</v>
      </c>
      <c r="I97" s="170">
        <f t="shared" si="48"/>
        <v>0.51878124999999997</v>
      </c>
      <c r="J97" s="234">
        <f t="shared" si="48"/>
        <v>0.50355002477577937</v>
      </c>
      <c r="K97" s="169">
        <f t="shared" si="48"/>
        <v>0.49234089874345516</v>
      </c>
      <c r="L97" s="170">
        <f t="shared" si="48"/>
        <v>0.51390940080810366</v>
      </c>
      <c r="M97" s="234">
        <f t="shared" si="48"/>
        <v>0.56542977651480686</v>
      </c>
      <c r="N97" s="169">
        <f t="shared" si="48"/>
        <v>0.55921199999999993</v>
      </c>
      <c r="O97" s="170">
        <f t="shared" si="48"/>
        <v>0.54921153131382183</v>
      </c>
      <c r="P97" s="234">
        <f t="shared" si="48"/>
        <v>0.56657968749999998</v>
      </c>
      <c r="Q97" s="169">
        <f t="shared" si="48"/>
        <v>0.54901500000000003</v>
      </c>
      <c r="R97" s="170">
        <f t="shared" si="48"/>
        <v>0.58371950000000006</v>
      </c>
      <c r="S97" s="501"/>
      <c r="AA97" s="48"/>
      <c r="AI97" s="379"/>
      <c r="AJ97" s="379"/>
      <c r="AK97" s="379"/>
      <c r="AL97" s="379"/>
      <c r="AM97" s="379"/>
      <c r="AN97" s="380"/>
      <c r="AO97" s="787"/>
      <c r="AP97" s="787"/>
      <c r="AQ97" s="787"/>
      <c r="AV97" s="787"/>
      <c r="AW97" s="787"/>
      <c r="AX97" s="787"/>
    </row>
    <row r="98" spans="1:98">
      <c r="D98" s="48"/>
      <c r="E98" s="48"/>
      <c r="F98" s="48"/>
      <c r="J98" s="48"/>
      <c r="R98" s="524" t="s">
        <v>437</v>
      </c>
      <c r="AO98" s="787"/>
      <c r="AP98" s="787"/>
      <c r="AQ98" s="787"/>
      <c r="AV98" s="787"/>
      <c r="AW98" s="787"/>
      <c r="AX98" s="787"/>
    </row>
    <row r="99" spans="1:98">
      <c r="B99" s="797" t="s">
        <v>430</v>
      </c>
      <c r="C99" s="798"/>
      <c r="D99" s="820" t="s">
        <v>151</v>
      </c>
      <c r="E99" s="679" t="s">
        <v>152</v>
      </c>
      <c r="F99" s="680" t="s">
        <v>153</v>
      </c>
      <c r="G99" s="681" t="s">
        <v>154</v>
      </c>
      <c r="H99" s="680" t="s">
        <v>155</v>
      </c>
      <c r="I99" s="680" t="s">
        <v>156</v>
      </c>
      <c r="J99" s="681" t="s">
        <v>157</v>
      </c>
      <c r="K99" s="680" t="s">
        <v>158</v>
      </c>
      <c r="L99" s="655" t="s">
        <v>159</v>
      </c>
      <c r="M99" s="680" t="s">
        <v>160</v>
      </c>
      <c r="N99" s="680" t="s">
        <v>161</v>
      </c>
      <c r="O99" s="680" t="s">
        <v>162</v>
      </c>
      <c r="P99" s="680" t="s">
        <v>163</v>
      </c>
      <c r="Q99" s="810" t="s">
        <v>164</v>
      </c>
      <c r="AJ99" s="745"/>
      <c r="AK99" s="745"/>
      <c r="AL99" s="745"/>
      <c r="AM99" s="745"/>
      <c r="AO99" s="787"/>
      <c r="AP99" s="787"/>
      <c r="AQ99" s="787"/>
      <c r="AV99" s="787"/>
      <c r="AW99" s="787"/>
      <c r="AX99" s="787"/>
    </row>
    <row r="100" spans="1:98">
      <c r="B100" s="48"/>
      <c r="C100" s="814" t="s">
        <v>139</v>
      </c>
      <c r="D100" s="811">
        <v>1</v>
      </c>
      <c r="E100" s="1244">
        <f t="shared" ref="E100:Q100" si="49">E114/E$113/2*(1+E66/100)^E$113</f>
        <v>4.5492018210875596E-4</v>
      </c>
      <c r="F100" s="1245">
        <f t="shared" si="49"/>
        <v>5.4161406125042286E-4</v>
      </c>
      <c r="G100" s="1246">
        <f t="shared" si="49"/>
        <v>6.1408214538861668E-4</v>
      </c>
      <c r="H100" s="1245">
        <f t="shared" si="49"/>
        <v>7.238631924535462E-4</v>
      </c>
      <c r="I100" s="1245">
        <f t="shared" si="49"/>
        <v>8.7781015325403167E-4</v>
      </c>
      <c r="J100" s="1246">
        <f t="shared" si="49"/>
        <v>1.0445306432282885E-3</v>
      </c>
      <c r="K100" s="1245">
        <f t="shared" si="49"/>
        <v>1.1790148265631189E-3</v>
      </c>
      <c r="L100" s="1247">
        <f t="shared" si="49"/>
        <v>1.2899819238847323E-3</v>
      </c>
      <c r="M100" s="1245">
        <f t="shared" si="49"/>
        <v>1.3728771702508581E-3</v>
      </c>
      <c r="N100" s="1245">
        <f t="shared" si="49"/>
        <v>1.422804224432388E-3</v>
      </c>
      <c r="O100" s="1245">
        <f t="shared" si="49"/>
        <v>1.5033501046686378E-3</v>
      </c>
      <c r="P100" s="1245">
        <f t="shared" si="49"/>
        <v>1.6252308574524325E-3</v>
      </c>
      <c r="Q100" s="1248">
        <f t="shared" si="49"/>
        <v>1.7931845359714386E-3</v>
      </c>
      <c r="AJ100" s="745"/>
      <c r="AK100" s="745"/>
      <c r="AL100" s="745"/>
      <c r="AM100" s="745"/>
      <c r="AO100" s="787"/>
      <c r="AP100" s="787"/>
      <c r="AQ100" s="787"/>
      <c r="AV100" s="787"/>
      <c r="AW100" s="787"/>
      <c r="AX100" s="787"/>
    </row>
    <row r="101" spans="1:98">
      <c r="B101" s="48"/>
      <c r="C101" s="812" t="s">
        <v>143</v>
      </c>
      <c r="D101" s="811">
        <v>2</v>
      </c>
      <c r="E101" s="1249">
        <f t="shared" ref="E101:Q101" si="50">E115/E$113/2*(1+E67/100)^E$113</f>
        <v>5.1180092573190419E-4</v>
      </c>
      <c r="F101" s="1250">
        <f t="shared" si="50"/>
        <v>5.8448165790977373E-4</v>
      </c>
      <c r="G101" s="1250">
        <f t="shared" si="50"/>
        <v>7.2320744102516194E-4</v>
      </c>
      <c r="H101" s="1250">
        <f t="shared" si="50"/>
        <v>8.2972450225676244E-4</v>
      </c>
      <c r="I101" s="1250">
        <f t="shared" si="50"/>
        <v>9.376333943659378E-4</v>
      </c>
      <c r="J101" s="1250">
        <f t="shared" si="50"/>
        <v>1.0738023495036255E-3</v>
      </c>
      <c r="K101" s="1250">
        <f t="shared" si="50"/>
        <v>1.1867028555202267E-3</v>
      </c>
      <c r="L101" s="1251">
        <f t="shared" si="50"/>
        <v>1.2439973804007427E-3</v>
      </c>
      <c r="M101" s="1250">
        <f t="shared" si="50"/>
        <v>1.3059562221831703E-3</v>
      </c>
      <c r="N101" s="1250">
        <f t="shared" si="50"/>
        <v>1.4030091263763395E-3</v>
      </c>
      <c r="O101" s="1250">
        <f t="shared" si="50"/>
        <v>1.5141363194727316E-3</v>
      </c>
      <c r="P101" s="1250">
        <f t="shared" si="50"/>
        <v>1.6543851882133778E-3</v>
      </c>
      <c r="Q101" s="1252">
        <f t="shared" si="50"/>
        <v>1.8768465162439319E-3</v>
      </c>
      <c r="AJ101" s="745"/>
      <c r="AK101" s="745"/>
      <c r="AL101" s="745"/>
      <c r="AM101" s="745"/>
      <c r="AO101" s="787"/>
      <c r="AP101" s="787"/>
      <c r="AQ101" s="787"/>
      <c r="AV101" s="787"/>
      <c r="AW101" s="787"/>
      <c r="AX101" s="787"/>
    </row>
    <row r="102" spans="1:98">
      <c r="B102" s="48"/>
      <c r="C102" s="812" t="s">
        <v>142</v>
      </c>
      <c r="D102" s="811">
        <v>3</v>
      </c>
      <c r="E102" s="1253">
        <f t="shared" ref="E102:Q102" si="51">E116/E$113/2*(1+E68/100)^E$113</f>
        <v>6.7791612889613355E-4</v>
      </c>
      <c r="F102" s="1250">
        <f t="shared" si="51"/>
        <v>7.5464247526250733E-4</v>
      </c>
      <c r="G102" s="1254">
        <f t="shared" si="51"/>
        <v>8.5959971302027082E-4</v>
      </c>
      <c r="H102" s="1250">
        <f t="shared" si="51"/>
        <v>9.4693513556761018E-4</v>
      </c>
      <c r="I102" s="1250">
        <f t="shared" si="51"/>
        <v>1.0187079316837915E-3</v>
      </c>
      <c r="J102" s="1254">
        <f t="shared" si="51"/>
        <v>1.0467581078829893E-3</v>
      </c>
      <c r="K102" s="1250">
        <f t="shared" si="51"/>
        <v>1.0672996444817057E-3</v>
      </c>
      <c r="L102" s="1255">
        <f t="shared" si="51"/>
        <v>1.130928362305605E-3</v>
      </c>
      <c r="M102" s="1250">
        <f t="shared" si="51"/>
        <v>1.2414265608359746E-3</v>
      </c>
      <c r="N102" s="1250">
        <f t="shared" si="51"/>
        <v>1.4257197721228793E-3</v>
      </c>
      <c r="O102" s="1250">
        <f t="shared" si="51"/>
        <v>1.6490746619026587E-3</v>
      </c>
      <c r="P102" s="1250">
        <f t="shared" si="51"/>
        <v>1.8779575986040071E-3</v>
      </c>
      <c r="Q102" s="1256">
        <f t="shared" si="51"/>
        <v>2.1829943711964132E-3</v>
      </c>
      <c r="AJ102" s="745"/>
      <c r="AK102" s="745"/>
      <c r="AL102" s="745"/>
      <c r="AM102" s="745"/>
      <c r="AO102" s="787"/>
      <c r="AP102" s="787"/>
      <c r="AQ102" s="787"/>
      <c r="AV102" s="787"/>
      <c r="AW102" s="787"/>
      <c r="AX102" s="787"/>
    </row>
    <row r="103" spans="1:98">
      <c r="B103" s="48"/>
      <c r="C103" s="812" t="s">
        <v>140</v>
      </c>
      <c r="D103" s="811">
        <v>4</v>
      </c>
      <c r="E103" s="1253">
        <f t="shared" ref="E103:L110" si="52">E117/E$113/2*(1+E69/100)^E$113</f>
        <v>9.5793175646526237E-4</v>
      </c>
      <c r="F103" s="1250">
        <f t="shared" si="52"/>
        <v>1.2335551203949096E-3</v>
      </c>
      <c r="G103" s="1254">
        <f t="shared" si="52"/>
        <v>1.4019107884538668E-3</v>
      </c>
      <c r="H103" s="1250">
        <f t="shared" si="52"/>
        <v>1.5856543109114222E-3</v>
      </c>
      <c r="I103" s="1250">
        <f t="shared" si="52"/>
        <v>1.7146936162305915E-3</v>
      </c>
      <c r="J103" s="1254">
        <f t="shared" si="52"/>
        <v>1.8246760752202941E-3</v>
      </c>
      <c r="K103" s="1250">
        <f t="shared" si="52"/>
        <v>1.9892018555597714E-3</v>
      </c>
      <c r="L103" s="1255">
        <f t="shared" si="52"/>
        <v>2.2211341555311761E-3</v>
      </c>
      <c r="M103" s="1250" t="s">
        <v>165</v>
      </c>
      <c r="N103" s="1250" t="s">
        <v>165</v>
      </c>
      <c r="O103" s="1250" t="s">
        <v>165</v>
      </c>
      <c r="P103" s="1250" t="s">
        <v>165</v>
      </c>
      <c r="Q103" s="1256" t="s">
        <v>165</v>
      </c>
      <c r="AJ103" s="745"/>
      <c r="AK103" s="745"/>
      <c r="AL103" s="745"/>
      <c r="AM103" s="745"/>
      <c r="AO103" s="787"/>
      <c r="AP103" s="787"/>
      <c r="AQ103" s="787"/>
      <c r="AV103" s="787"/>
      <c r="AW103" s="787"/>
      <c r="AX103" s="787"/>
    </row>
    <row r="104" spans="1:98">
      <c r="B104" s="48"/>
      <c r="C104" s="812" t="s">
        <v>171</v>
      </c>
      <c r="D104" s="811">
        <v>5</v>
      </c>
      <c r="E104" s="1253">
        <f t="shared" si="52"/>
        <v>1.5313670832931532E-3</v>
      </c>
      <c r="F104" s="1250">
        <f t="shared" si="52"/>
        <v>1.7281049079051016E-3</v>
      </c>
      <c r="G104" s="1254">
        <f t="shared" si="52"/>
        <v>2.0565280185123806E-3</v>
      </c>
      <c r="H104" s="1250">
        <f t="shared" si="52"/>
        <v>2.3182153175127177E-3</v>
      </c>
      <c r="I104" s="1250">
        <f t="shared" si="52"/>
        <v>2.5658696095001055E-3</v>
      </c>
      <c r="J104" s="1254">
        <f t="shared" si="52"/>
        <v>2.9157446930635563E-3</v>
      </c>
      <c r="K104" s="1250">
        <f t="shared" si="52"/>
        <v>3.1812448725767042E-3</v>
      </c>
      <c r="L104" s="1255">
        <f t="shared" si="52"/>
        <v>3.4597270948533063E-3</v>
      </c>
      <c r="M104" s="1250" t="s">
        <v>165</v>
      </c>
      <c r="N104" s="1250" t="s">
        <v>165</v>
      </c>
      <c r="O104" s="1250" t="s">
        <v>165</v>
      </c>
      <c r="P104" s="1250" t="s">
        <v>165</v>
      </c>
      <c r="Q104" s="1256" t="s">
        <v>165</v>
      </c>
      <c r="AJ104" s="745"/>
      <c r="AK104" s="745"/>
      <c r="AL104" s="745"/>
      <c r="AM104" s="745"/>
      <c r="AO104" s="787"/>
      <c r="AP104" s="787"/>
      <c r="AQ104" s="787"/>
      <c r="AV104" s="787"/>
      <c r="AW104" s="787"/>
      <c r="AX104" s="787"/>
    </row>
    <row r="105" spans="1:98">
      <c r="B105" s="48"/>
      <c r="C105" s="812" t="s">
        <v>148</v>
      </c>
      <c r="D105" s="811">
        <v>6</v>
      </c>
      <c r="E105" s="1249">
        <f t="shared" si="52"/>
        <v>4.0024066842001427E-3</v>
      </c>
      <c r="F105" s="1250">
        <f t="shared" si="52"/>
        <v>4.8388593722871178E-3</v>
      </c>
      <c r="G105" s="1250">
        <f t="shared" si="52"/>
        <v>5.4812632502066619E-3</v>
      </c>
      <c r="H105" s="1250">
        <f t="shared" si="52"/>
        <v>6.1492770693478537E-3</v>
      </c>
      <c r="I105" s="1250">
        <f t="shared" si="52"/>
        <v>6.5759973911184207E-3</v>
      </c>
      <c r="J105" s="1250">
        <f t="shared" si="52"/>
        <v>6.8465900340614044E-3</v>
      </c>
      <c r="K105" s="1250">
        <f t="shared" si="52"/>
        <v>7.0807384528542225E-3</v>
      </c>
      <c r="L105" s="1251">
        <f t="shared" si="52"/>
        <v>7.4450609405453195E-3</v>
      </c>
      <c r="M105" s="1250" t="s">
        <v>165</v>
      </c>
      <c r="N105" s="1250" t="s">
        <v>165</v>
      </c>
      <c r="O105" s="1250" t="s">
        <v>165</v>
      </c>
      <c r="P105" s="1250" t="s">
        <v>165</v>
      </c>
      <c r="Q105" s="1256" t="s">
        <v>165</v>
      </c>
      <c r="AJ105" s="745"/>
      <c r="AK105" s="745"/>
      <c r="AL105" s="745"/>
      <c r="AM105" s="745"/>
      <c r="AO105" s="787"/>
      <c r="AP105" s="787"/>
      <c r="AQ105" s="787"/>
      <c r="AV105" s="787"/>
      <c r="AW105" s="787"/>
      <c r="AX105" s="787"/>
    </row>
    <row r="106" spans="1:98">
      <c r="B106" s="48"/>
      <c r="C106" s="812" t="s">
        <v>429</v>
      </c>
      <c r="D106" s="811">
        <v>7</v>
      </c>
      <c r="E106" s="1253">
        <f t="shared" si="52"/>
        <v>4.4881984258743641E-3</v>
      </c>
      <c r="F106" s="1250">
        <f t="shared" si="52"/>
        <v>5.361980093444566E-3</v>
      </c>
      <c r="G106" s="1254">
        <f t="shared" si="52"/>
        <v>6.0055181016148733E-3</v>
      </c>
      <c r="H106" s="1250">
        <f t="shared" si="52"/>
        <v>6.3515962156521126E-3</v>
      </c>
      <c r="I106" s="1250">
        <f t="shared" si="52"/>
        <v>6.8020477627844115E-3</v>
      </c>
      <c r="J106" s="1254">
        <f t="shared" si="52"/>
        <v>7.4673649422180239E-3</v>
      </c>
      <c r="K106" s="1250">
        <f t="shared" si="52"/>
        <v>7.9892186622670981E-3</v>
      </c>
      <c r="L106" s="1255">
        <f t="shared" si="52"/>
        <v>8.4971230347016709E-3</v>
      </c>
      <c r="M106" s="1250" t="s">
        <v>165</v>
      </c>
      <c r="N106" s="1250" t="s">
        <v>165</v>
      </c>
      <c r="O106" s="1250" t="s">
        <v>165</v>
      </c>
      <c r="P106" s="1250" t="s">
        <v>165</v>
      </c>
      <c r="Q106" s="1256" t="s">
        <v>165</v>
      </c>
      <c r="AJ106" s="745"/>
      <c r="AK106" s="745"/>
      <c r="AL106" s="745"/>
      <c r="AM106" s="745"/>
      <c r="AO106" s="787"/>
      <c r="AP106" s="787"/>
      <c r="AQ106" s="787"/>
      <c r="AV106" s="787"/>
      <c r="AW106" s="787"/>
      <c r="AX106" s="787"/>
    </row>
    <row r="107" spans="1:98">
      <c r="B107" s="48"/>
      <c r="C107" s="812" t="s">
        <v>149</v>
      </c>
      <c r="D107" s="811">
        <v>8</v>
      </c>
      <c r="E107" s="1257">
        <f t="shared" si="52"/>
        <v>1.0329687735023253E-2</v>
      </c>
      <c r="F107" s="1250">
        <f t="shared" si="52"/>
        <v>1.2172796239418401E-2</v>
      </c>
      <c r="G107" s="601">
        <f t="shared" si="52"/>
        <v>1.3331505936951579E-2</v>
      </c>
      <c r="H107" s="1250">
        <f t="shared" si="52"/>
        <v>1.435529828109963E-2</v>
      </c>
      <c r="I107" s="1250">
        <f t="shared" si="52"/>
        <v>1.5466061778854409E-2</v>
      </c>
      <c r="J107" s="601">
        <f t="shared" si="52"/>
        <v>1.6923639130248178E-2</v>
      </c>
      <c r="K107" s="1250">
        <f t="shared" si="52"/>
        <v>1.6927825939423147E-2</v>
      </c>
      <c r="L107" s="1258">
        <f t="shared" si="52"/>
        <v>1.9401047194048351E-2</v>
      </c>
      <c r="M107" s="1250" t="s">
        <v>165</v>
      </c>
      <c r="N107" s="1250" t="s">
        <v>165</v>
      </c>
      <c r="O107" s="1250" t="s">
        <v>165</v>
      </c>
      <c r="P107" s="1250" t="s">
        <v>165</v>
      </c>
      <c r="Q107" s="1256" t="s">
        <v>165</v>
      </c>
      <c r="AJ107" s="745"/>
      <c r="AK107" s="745"/>
      <c r="AL107" s="745"/>
      <c r="AM107" s="745"/>
      <c r="AO107" s="787"/>
      <c r="AP107" s="787"/>
      <c r="AQ107" s="787"/>
      <c r="AV107" s="787"/>
      <c r="AW107" s="787"/>
      <c r="AX107" s="787"/>
    </row>
    <row r="108" spans="1:98">
      <c r="B108" s="48"/>
      <c r="C108" s="812" t="s">
        <v>141</v>
      </c>
      <c r="D108" s="811">
        <v>9</v>
      </c>
      <c r="E108" s="1257">
        <f t="shared" si="52"/>
        <v>1.3082856258473599E-2</v>
      </c>
      <c r="F108" s="1250">
        <f t="shared" si="52"/>
        <v>1.4661613659679482E-2</v>
      </c>
      <c r="G108" s="601">
        <f t="shared" si="52"/>
        <v>1.6663672465174219E-2</v>
      </c>
      <c r="H108" s="1250">
        <f t="shared" si="52"/>
        <v>1.8636355175215478E-2</v>
      </c>
      <c r="I108" s="1250">
        <f t="shared" si="52"/>
        <v>2.1173872999780196E-2</v>
      </c>
      <c r="J108" s="601">
        <f t="shared" si="52"/>
        <v>2.3640901872180382E-2</v>
      </c>
      <c r="K108" s="1250">
        <f t="shared" si="52"/>
        <v>2.1848099418926011E-2</v>
      </c>
      <c r="L108" s="1258">
        <f t="shared" si="52"/>
        <v>2.7299007730087019E-2</v>
      </c>
      <c r="M108" s="1250" t="s">
        <v>165</v>
      </c>
      <c r="N108" s="1250" t="s">
        <v>165</v>
      </c>
      <c r="O108" s="1250" t="s">
        <v>165</v>
      </c>
      <c r="P108" s="1250" t="s">
        <v>165</v>
      </c>
      <c r="Q108" s="1256" t="s">
        <v>165</v>
      </c>
      <c r="AJ108" s="745"/>
      <c r="AK108" s="745"/>
      <c r="AL108" s="745"/>
      <c r="AM108" s="745"/>
      <c r="AO108" s="787"/>
      <c r="AP108" s="787"/>
      <c r="AQ108" s="787"/>
      <c r="AV108" s="787"/>
      <c r="AW108" s="787"/>
      <c r="AX108" s="787"/>
    </row>
    <row r="109" spans="1:98">
      <c r="B109" s="48"/>
      <c r="C109" s="812" t="s">
        <v>150</v>
      </c>
      <c r="D109" s="811">
        <v>10</v>
      </c>
      <c r="E109" s="1257">
        <f t="shared" si="52"/>
        <v>1.7595839622799959E-2</v>
      </c>
      <c r="F109" s="1250">
        <f t="shared" si="52"/>
        <v>1.9663552996937672E-2</v>
      </c>
      <c r="G109" s="601">
        <f t="shared" si="52"/>
        <v>2.1725814769883334E-2</v>
      </c>
      <c r="H109" s="1250">
        <f t="shared" si="52"/>
        <v>2.375318389092854E-2</v>
      </c>
      <c r="I109" s="1250">
        <f t="shared" si="52"/>
        <v>2.6113728397402163E-2</v>
      </c>
      <c r="J109" s="601">
        <f t="shared" si="52"/>
        <v>2.8855798685042917E-2</v>
      </c>
      <c r="K109" s="1250">
        <f t="shared" si="52"/>
        <v>3.1073968220015801E-2</v>
      </c>
      <c r="L109" s="1258">
        <f t="shared" si="52"/>
        <v>3.3205994871160882E-2</v>
      </c>
      <c r="M109" s="1250" t="s">
        <v>165</v>
      </c>
      <c r="N109" s="1250" t="s">
        <v>165</v>
      </c>
      <c r="O109" s="1250" t="s">
        <v>165</v>
      </c>
      <c r="P109" s="1250" t="s">
        <v>165</v>
      </c>
      <c r="Q109" s="1256" t="s">
        <v>165</v>
      </c>
      <c r="AJ109" s="745"/>
      <c r="AK109" s="745"/>
      <c r="AL109" s="745"/>
      <c r="AM109" s="745"/>
      <c r="AO109" s="787"/>
      <c r="AP109" s="787"/>
      <c r="AQ109" s="787"/>
      <c r="AV109" s="787"/>
      <c r="AW109" s="787"/>
      <c r="AX109" s="787"/>
    </row>
    <row r="110" spans="1:98">
      <c r="B110" s="818"/>
      <c r="C110" s="813" t="s">
        <v>166</v>
      </c>
      <c r="D110" s="821">
        <v>11</v>
      </c>
      <c r="E110" s="1259">
        <f t="shared" si="52"/>
        <v>2.5808119022210061E-2</v>
      </c>
      <c r="F110" s="1260">
        <f t="shared" si="52"/>
        <v>2.7986540276747761E-2</v>
      </c>
      <c r="G110" s="1261">
        <f t="shared" si="52"/>
        <v>3.081739108963891E-2</v>
      </c>
      <c r="H110" s="1260">
        <f t="shared" si="52"/>
        <v>3.3708234366607776E-2</v>
      </c>
      <c r="I110" s="1260">
        <f t="shared" si="52"/>
        <v>3.6918235670558561E-2</v>
      </c>
      <c r="J110" s="1261">
        <f t="shared" si="52"/>
        <v>4.0953656933842293E-2</v>
      </c>
      <c r="K110" s="1260">
        <f t="shared" si="52"/>
        <v>4.3123090187404567E-2</v>
      </c>
      <c r="L110" s="1262">
        <f t="shared" si="52"/>
        <v>4.5720665412897474E-2</v>
      </c>
      <c r="M110" s="1260" t="s">
        <v>165</v>
      </c>
      <c r="N110" s="1260" t="s">
        <v>165</v>
      </c>
      <c r="O110" s="1260" t="s">
        <v>165</v>
      </c>
      <c r="P110" s="1260" t="s">
        <v>165</v>
      </c>
      <c r="Q110" s="1263" t="s">
        <v>165</v>
      </c>
      <c r="AJ110" s="745"/>
      <c r="AK110" s="745"/>
      <c r="AL110" s="745"/>
      <c r="AM110" s="745"/>
      <c r="AO110" s="787"/>
      <c r="AP110" s="787"/>
      <c r="AQ110" s="787"/>
      <c r="AV110" s="787"/>
      <c r="AW110" s="787"/>
      <c r="AX110" s="787"/>
    </row>
    <row r="111" spans="1:98">
      <c r="B111" s="841" t="s">
        <v>432</v>
      </c>
      <c r="C111" s="842" t="s">
        <v>429</v>
      </c>
      <c r="D111" s="843"/>
      <c r="E111" s="839">
        <f t="shared" ref="E111:L111" si="53">E72-E57</f>
        <v>2.9137000000000031</v>
      </c>
      <c r="F111" s="840">
        <f t="shared" si="53"/>
        <v>3.3541958598726125</v>
      </c>
      <c r="G111" s="840">
        <f t="shared" si="53"/>
        <v>3.794691719745221</v>
      </c>
      <c r="H111" s="840">
        <f t="shared" si="53"/>
        <v>3.9696668789808904</v>
      </c>
      <c r="I111" s="840">
        <f t="shared" si="53"/>
        <v>4.1446420382165599</v>
      </c>
      <c r="J111" s="840">
        <f t="shared" si="53"/>
        <v>4.3196171974522297</v>
      </c>
      <c r="K111" s="840">
        <f t="shared" si="53"/>
        <v>4.2168012738853502</v>
      </c>
      <c r="L111" s="836">
        <f t="shared" si="53"/>
        <v>4.1139853503184707</v>
      </c>
      <c r="M111" s="837" t="s">
        <v>165</v>
      </c>
      <c r="N111" s="837" t="s">
        <v>165</v>
      </c>
      <c r="O111" s="837" t="s">
        <v>165</v>
      </c>
      <c r="P111" s="837" t="s">
        <v>165</v>
      </c>
      <c r="Q111" s="838" t="s">
        <v>165</v>
      </c>
      <c r="AJ111" s="745"/>
      <c r="AK111" s="745"/>
      <c r="AL111" s="745"/>
      <c r="AM111" s="745"/>
      <c r="AO111" s="787"/>
      <c r="AP111" s="787"/>
      <c r="AQ111" s="787"/>
      <c r="AV111" s="787"/>
      <c r="AW111" s="787"/>
      <c r="AX111" s="787"/>
    </row>
    <row r="112" spans="1:98" s="52" customFormat="1">
      <c r="A112" s="221"/>
      <c r="B112" s="235" t="s">
        <v>440</v>
      </c>
      <c r="C112" s="198"/>
      <c r="D112" s="195"/>
      <c r="E112" s="167"/>
      <c r="F112" s="167"/>
      <c r="G112" s="184"/>
      <c r="H112" s="167"/>
      <c r="I112" s="167"/>
      <c r="J112" s="166"/>
      <c r="K112" s="167"/>
      <c r="L112" s="167"/>
      <c r="M112" s="184"/>
      <c r="N112" s="167"/>
      <c r="O112" s="167"/>
      <c r="P112" s="184"/>
      <c r="Q112" s="167"/>
      <c r="R112" s="167"/>
      <c r="S112" s="111"/>
      <c r="T112" s="51"/>
      <c r="U112" s="51"/>
      <c r="V112" s="51"/>
      <c r="W112" s="35"/>
      <c r="X112" s="35"/>
      <c r="Y112" s="51"/>
      <c r="Z112" s="51"/>
      <c r="AA112" s="67"/>
      <c r="AB112" s="35"/>
      <c r="AC112" s="35"/>
      <c r="AD112" s="35"/>
      <c r="AE112" s="35"/>
      <c r="AF112" s="35"/>
      <c r="AG112" s="51"/>
      <c r="AH112" s="51"/>
      <c r="AI112" s="67"/>
      <c r="AJ112" s="745"/>
      <c r="AK112" s="745"/>
      <c r="AL112" s="745"/>
      <c r="AM112" s="745"/>
      <c r="AN112" s="484"/>
      <c r="AO112" s="788"/>
      <c r="AP112" s="788"/>
      <c r="AQ112" s="788"/>
      <c r="AV112" s="788"/>
      <c r="AW112" s="788"/>
      <c r="AX112" s="788"/>
      <c r="AY112" s="372"/>
      <c r="BO112" s="372"/>
      <c r="CE112" s="372"/>
      <c r="CT112" s="365"/>
    </row>
    <row r="113" spans="1:98" ht="13.8" thickBot="1">
      <c r="B113" s="791" t="s">
        <v>436</v>
      </c>
      <c r="C113" s="792"/>
      <c r="D113" s="166"/>
      <c r="E113" s="801">
        <v>3</v>
      </c>
      <c r="F113" s="802">
        <v>4</v>
      </c>
      <c r="G113" s="802">
        <v>5</v>
      </c>
      <c r="H113" s="802">
        <v>6</v>
      </c>
      <c r="I113" s="802">
        <v>7</v>
      </c>
      <c r="J113" s="802">
        <v>8</v>
      </c>
      <c r="K113" s="802">
        <v>9</v>
      </c>
      <c r="L113" s="793">
        <v>10</v>
      </c>
      <c r="M113" s="802">
        <v>11</v>
      </c>
      <c r="N113" s="802">
        <v>12</v>
      </c>
      <c r="O113" s="802">
        <v>13</v>
      </c>
      <c r="P113" s="802">
        <v>14</v>
      </c>
      <c r="Q113" s="807">
        <v>15</v>
      </c>
      <c r="R113" s="832" t="s">
        <v>434</v>
      </c>
      <c r="AJ113" s="745"/>
      <c r="AK113" s="745"/>
      <c r="AL113" s="745"/>
      <c r="AM113" s="745"/>
      <c r="AO113" s="787"/>
      <c r="AP113" s="787"/>
      <c r="AQ113" s="787"/>
      <c r="AV113" s="787"/>
      <c r="AW113" s="787"/>
      <c r="AX113" s="787"/>
    </row>
    <row r="114" spans="1:98">
      <c r="B114" s="166"/>
      <c r="C114" s="815" t="s">
        <v>139</v>
      </c>
      <c r="D114" s="166"/>
      <c r="E114" s="1264">
        <v>2.5619999999999996E-3</v>
      </c>
      <c r="F114" s="1265">
        <v>3.9420000000000002E-3</v>
      </c>
      <c r="G114" s="1265">
        <v>5.3879999999999996E-3</v>
      </c>
      <c r="H114" s="1265">
        <v>7.3199999999999993E-3</v>
      </c>
      <c r="I114" s="1265">
        <v>9.9000000000000008E-3</v>
      </c>
      <c r="J114" s="1265">
        <v>1.2809999999999998E-2</v>
      </c>
      <c r="K114" s="1265">
        <v>1.5521999999999999E-2</v>
      </c>
      <c r="L114" s="1266">
        <v>1.7951999999999999E-2</v>
      </c>
      <c r="M114" s="1265">
        <v>1.9980000000000001E-2</v>
      </c>
      <c r="N114" s="1265">
        <v>2.1419999999999998E-2</v>
      </c>
      <c r="O114" s="1265">
        <v>2.3190000000000002E-2</v>
      </c>
      <c r="P114" s="1265">
        <v>2.547E-2</v>
      </c>
      <c r="Q114" s="1276">
        <v>2.8332000000000003E-2</v>
      </c>
      <c r="R114" s="865">
        <v>0.85</v>
      </c>
      <c r="AJ114" s="745"/>
      <c r="AK114" s="745"/>
      <c r="AL114" s="745"/>
      <c r="AM114" s="745"/>
      <c r="AO114" s="787"/>
      <c r="AP114" s="787"/>
      <c r="AQ114" s="787"/>
      <c r="AV114" s="787"/>
      <c r="AW114" s="787"/>
      <c r="AX114" s="787"/>
    </row>
    <row r="115" spans="1:98">
      <c r="B115" s="166"/>
      <c r="C115" s="816" t="s">
        <v>143</v>
      </c>
      <c r="D115" s="166"/>
      <c r="E115" s="1267">
        <v>2.8679999999999995E-3</v>
      </c>
      <c r="F115" s="1268">
        <v>4.2179999999999995E-3</v>
      </c>
      <c r="G115" s="1268">
        <v>6.2639999999999996E-3</v>
      </c>
      <c r="H115" s="1268">
        <v>8.2740000000000001E-3</v>
      </c>
      <c r="I115" s="1268">
        <v>1.0421999999999999E-2</v>
      </c>
      <c r="J115" s="1268">
        <v>1.2977999999999998E-2</v>
      </c>
      <c r="K115" s="1268">
        <v>1.5377999999999999E-2</v>
      </c>
      <c r="L115" s="1269">
        <v>1.7022000000000002E-2</v>
      </c>
      <c r="M115" s="1268">
        <v>1.8641999999999999E-2</v>
      </c>
      <c r="N115" s="1268">
        <v>2.0663999999999998E-2</v>
      </c>
      <c r="O115" s="1268">
        <v>2.2787999999999999E-2</v>
      </c>
      <c r="P115" s="1268">
        <v>2.5223999999999996E-2</v>
      </c>
      <c r="Q115" s="1277">
        <v>2.8763999999999998E-2</v>
      </c>
      <c r="R115" s="866">
        <v>0.85</v>
      </c>
      <c r="AJ115" s="745"/>
      <c r="AK115" s="745"/>
      <c r="AL115" s="745"/>
      <c r="AM115" s="745"/>
      <c r="AO115" s="787"/>
      <c r="AP115" s="787"/>
      <c r="AQ115" s="787"/>
      <c r="AV115" s="787"/>
      <c r="AW115" s="787"/>
      <c r="AX115" s="787"/>
    </row>
    <row r="116" spans="1:98">
      <c r="B116" s="166"/>
      <c r="C116" s="816" t="s">
        <v>142</v>
      </c>
      <c r="D116" s="166"/>
      <c r="E116" s="1267">
        <v>3.7799999999999999E-3</v>
      </c>
      <c r="F116" s="1268">
        <v>5.4000000000000003E-3</v>
      </c>
      <c r="G116" s="1268">
        <v>7.3499999999999998E-3</v>
      </c>
      <c r="H116" s="1268">
        <v>9.3120000000000008E-3</v>
      </c>
      <c r="I116" s="1268">
        <v>1.1160000000000002E-2</v>
      </c>
      <c r="J116" s="1268">
        <v>1.2468E-2</v>
      </c>
      <c r="K116" s="1268">
        <v>1.3614000000000001E-2</v>
      </c>
      <c r="L116" s="1269">
        <v>1.5216E-2</v>
      </c>
      <c r="M116" s="1268">
        <v>1.7381999999999998E-2</v>
      </c>
      <c r="N116" s="1268">
        <v>2.0544E-2</v>
      </c>
      <c r="O116" s="1268">
        <v>2.4215999999999994E-2</v>
      </c>
      <c r="P116" s="1268">
        <v>2.7857999999999997E-2</v>
      </c>
      <c r="Q116" s="1277">
        <v>3.2453999999999997E-2</v>
      </c>
      <c r="R116" s="866">
        <v>0.85</v>
      </c>
      <c r="AJ116" s="745"/>
      <c r="AK116" s="745"/>
      <c r="AL116" s="745"/>
      <c r="AM116" s="745"/>
      <c r="AO116" s="787"/>
      <c r="AP116" s="787"/>
      <c r="AQ116" s="787"/>
      <c r="AV116" s="787"/>
      <c r="AW116" s="787"/>
      <c r="AX116" s="787"/>
    </row>
    <row r="117" spans="1:98">
      <c r="B117" s="166"/>
      <c r="C117" s="816" t="s">
        <v>140</v>
      </c>
      <c r="D117" s="166"/>
      <c r="E117" s="1267">
        <v>5.2979999999999998E-3</v>
      </c>
      <c r="F117" s="1268">
        <v>8.7299999999999999E-3</v>
      </c>
      <c r="G117" s="1268">
        <v>1.1819999999999999E-2</v>
      </c>
      <c r="H117" s="1268">
        <v>1.5347999999999999E-2</v>
      </c>
      <c r="I117" s="1268">
        <v>1.8461999999999999E-2</v>
      </c>
      <c r="J117" s="1268">
        <v>2.1336000000000001E-2</v>
      </c>
      <c r="K117" s="1268">
        <v>2.4839999999999997E-2</v>
      </c>
      <c r="L117" s="1269">
        <v>2.9172E-2</v>
      </c>
      <c r="M117" s="1270">
        <v>3.4661999999999998E-2</v>
      </c>
      <c r="N117" s="1270">
        <v>4.0422E-2</v>
      </c>
      <c r="O117" s="1270">
        <v>4.5725999999999996E-2</v>
      </c>
      <c r="P117" s="1270">
        <v>5.0802000000000007E-2</v>
      </c>
      <c r="Q117" s="1278">
        <v>5.5878000000000004E-2</v>
      </c>
      <c r="R117" s="866">
        <v>0.85</v>
      </c>
      <c r="AJ117" s="745"/>
      <c r="AK117" s="745"/>
      <c r="AL117" s="745"/>
      <c r="AM117" s="745"/>
      <c r="AO117" s="787"/>
      <c r="AP117" s="787"/>
      <c r="AQ117" s="787"/>
      <c r="AV117" s="787"/>
      <c r="AW117" s="787"/>
      <c r="AX117" s="787"/>
    </row>
    <row r="118" spans="1:98">
      <c r="B118" s="166"/>
      <c r="C118" s="816" t="s">
        <v>171</v>
      </c>
      <c r="D118" s="166"/>
      <c r="E118" s="1267">
        <v>8.375999999999998E-3</v>
      </c>
      <c r="F118" s="1268">
        <v>1.2018000000000001E-2</v>
      </c>
      <c r="G118" s="1268">
        <v>1.6907999999999999E-2</v>
      </c>
      <c r="H118" s="1268">
        <v>2.1677999999999999E-2</v>
      </c>
      <c r="I118" s="1268">
        <v>2.6405999999999999E-2</v>
      </c>
      <c r="J118" s="1268">
        <v>3.2195999999999995E-2</v>
      </c>
      <c r="K118" s="1268">
        <v>3.7434000000000002E-2</v>
      </c>
      <c r="L118" s="1269">
        <v>4.2773999999999993E-2</v>
      </c>
      <c r="M118" s="1270">
        <v>4.7334000000000001E-2</v>
      </c>
      <c r="N118" s="1270">
        <v>5.0345999999999995E-2</v>
      </c>
      <c r="O118" s="1270">
        <v>5.6417999999999996E-2</v>
      </c>
      <c r="P118" s="1270">
        <v>6.3420000000000004E-2</v>
      </c>
      <c r="Q118" s="1278">
        <v>6.8748000000000004E-2</v>
      </c>
      <c r="R118" s="866">
        <v>0.85</v>
      </c>
      <c r="AJ118" s="745"/>
      <c r="AK118" s="745"/>
      <c r="AL118" s="745"/>
      <c r="AM118" s="745"/>
      <c r="AO118" s="787"/>
      <c r="AP118" s="787"/>
      <c r="AQ118" s="787"/>
      <c r="AV118" s="787"/>
      <c r="AW118" s="787"/>
      <c r="AX118" s="787"/>
    </row>
    <row r="119" spans="1:98">
      <c r="B119" s="166"/>
      <c r="C119" s="816" t="s">
        <v>148</v>
      </c>
      <c r="D119" s="166"/>
      <c r="E119" s="1267">
        <v>2.1588E-2</v>
      </c>
      <c r="F119" s="1268">
        <v>3.288E-2</v>
      </c>
      <c r="G119" s="1268">
        <v>4.3529999999999999E-2</v>
      </c>
      <c r="H119" s="1268">
        <v>5.4965999999999994E-2</v>
      </c>
      <c r="I119" s="1268">
        <v>6.3941999999999999E-2</v>
      </c>
      <c r="J119" s="1268">
        <v>7.0523999999999989E-2</v>
      </c>
      <c r="K119" s="1268">
        <v>7.7075999999999992E-2</v>
      </c>
      <c r="L119" s="1269">
        <v>8.4444000000000005E-2</v>
      </c>
      <c r="M119" s="1270">
        <v>9.2069999999999999E-2</v>
      </c>
      <c r="N119" s="1270">
        <v>0.10167</v>
      </c>
      <c r="O119" s="1270">
        <v>0.10829399999999999</v>
      </c>
      <c r="P119" s="1270">
        <v>0.11388</v>
      </c>
      <c r="Q119" s="1278">
        <v>0.12297000000000001</v>
      </c>
      <c r="R119" s="866">
        <v>0.75</v>
      </c>
      <c r="AJ119" s="745"/>
      <c r="AK119" s="745"/>
      <c r="AL119" s="745"/>
      <c r="AM119" s="745"/>
      <c r="AO119" s="787"/>
      <c r="AP119" s="787"/>
      <c r="AQ119" s="787"/>
      <c r="AV119" s="787"/>
      <c r="AW119" s="787"/>
      <c r="AX119" s="787"/>
    </row>
    <row r="120" spans="1:98">
      <c r="B120" s="166"/>
      <c r="C120" s="816" t="s">
        <v>429</v>
      </c>
      <c r="D120" s="166"/>
      <c r="E120" s="1267">
        <v>2.3873999999999999E-2</v>
      </c>
      <c r="F120" s="1268">
        <v>3.5604000000000004E-2</v>
      </c>
      <c r="G120" s="1268">
        <v>4.6079999999999996E-2</v>
      </c>
      <c r="H120" s="1268">
        <v>5.4288000000000003E-2</v>
      </c>
      <c r="I120" s="1268">
        <v>6.2519999999999992E-2</v>
      </c>
      <c r="J120" s="1268">
        <v>7.1795999999999985E-2</v>
      </c>
      <c r="K120" s="1268">
        <v>8.0502000000000004E-2</v>
      </c>
      <c r="L120" s="1269">
        <v>8.8481999999999991E-2</v>
      </c>
      <c r="M120" s="1270">
        <v>9.9299999999999999E-2</v>
      </c>
      <c r="N120" s="1270">
        <v>0.11093399999999999</v>
      </c>
      <c r="O120" s="1270">
        <v>0.12316199999999999</v>
      </c>
      <c r="P120" s="1270">
        <v>0.13480199999999998</v>
      </c>
      <c r="Q120" s="1278">
        <v>0.14945399999999998</v>
      </c>
      <c r="R120" s="866">
        <v>0.75</v>
      </c>
      <c r="AJ120" s="745"/>
      <c r="AK120" s="745"/>
      <c r="AL120" s="745"/>
      <c r="AM120" s="745"/>
      <c r="AO120" s="787"/>
      <c r="AP120" s="787"/>
      <c r="AQ120" s="787"/>
      <c r="AV120" s="787"/>
      <c r="AW120" s="787"/>
      <c r="AX120" s="787"/>
    </row>
    <row r="121" spans="1:98">
      <c r="B121" s="166"/>
      <c r="C121" s="816" t="s">
        <v>149</v>
      </c>
      <c r="D121" s="166"/>
      <c r="E121" s="1267">
        <v>5.4042E-2</v>
      </c>
      <c r="F121" s="1268">
        <v>7.8635999999999998E-2</v>
      </c>
      <c r="G121" s="1268">
        <v>9.8184000000000007E-2</v>
      </c>
      <c r="H121" s="1268">
        <v>0.11632800000000001</v>
      </c>
      <c r="I121" s="1268">
        <v>0.13294799999999998</v>
      </c>
      <c r="J121" s="1268">
        <v>0.14991599999999999</v>
      </c>
      <c r="K121" s="1268">
        <v>0.16625999999999999</v>
      </c>
      <c r="L121" s="1269">
        <v>0.182508</v>
      </c>
      <c r="M121" s="1270">
        <v>0.19522199999999998</v>
      </c>
      <c r="N121" s="1270">
        <v>0.20671199999999998</v>
      </c>
      <c r="O121" s="1270">
        <v>0.21993599999999999</v>
      </c>
      <c r="P121" s="1270">
        <v>0.23846400000000001</v>
      </c>
      <c r="Q121" s="1278">
        <v>0.25164599999999998</v>
      </c>
      <c r="R121" s="866">
        <v>0.75</v>
      </c>
      <c r="AJ121" s="745"/>
      <c r="AK121" s="745"/>
      <c r="AL121" s="745"/>
      <c r="AM121" s="745"/>
      <c r="AO121" s="787"/>
      <c r="AP121" s="787"/>
      <c r="AQ121" s="787"/>
      <c r="AV121" s="787"/>
      <c r="AW121" s="787"/>
      <c r="AX121" s="787"/>
    </row>
    <row r="122" spans="1:98">
      <c r="B122" s="166"/>
      <c r="C122" s="816" t="s">
        <v>141</v>
      </c>
      <c r="D122" s="166"/>
      <c r="E122" s="1267">
        <v>6.7103999999999997E-2</v>
      </c>
      <c r="F122" s="1268">
        <v>9.1661999999999993E-2</v>
      </c>
      <c r="G122" s="1268">
        <v>0.116886</v>
      </c>
      <c r="H122" s="1268">
        <v>0.14174999999999999</v>
      </c>
      <c r="I122" s="1268">
        <v>0.16810199999999997</v>
      </c>
      <c r="J122" s="1268">
        <v>0.19002000000000002</v>
      </c>
      <c r="K122" s="1268">
        <v>0.209178</v>
      </c>
      <c r="L122" s="1269">
        <v>0.227634</v>
      </c>
      <c r="M122" s="1270">
        <v>0.24274799999999999</v>
      </c>
      <c r="N122" s="1270">
        <v>0.25864199999999998</v>
      </c>
      <c r="O122" s="1270">
        <v>0.27477599999999996</v>
      </c>
      <c r="P122" s="1270">
        <v>0.291126</v>
      </c>
      <c r="Q122" s="1278">
        <v>0.30029999999999996</v>
      </c>
      <c r="R122" s="866">
        <v>0.75</v>
      </c>
      <c r="AJ122" s="745"/>
      <c r="AK122" s="745"/>
      <c r="AL122" s="745"/>
      <c r="AM122" s="745"/>
      <c r="AO122" s="787"/>
      <c r="AP122" s="787"/>
      <c r="AQ122" s="787"/>
      <c r="AV122" s="787"/>
      <c r="AW122" s="787"/>
      <c r="AX122" s="787"/>
    </row>
    <row r="123" spans="1:98">
      <c r="B123" s="166"/>
      <c r="C123" s="816" t="s">
        <v>150</v>
      </c>
      <c r="D123" s="166"/>
      <c r="E123" s="1267">
        <v>8.8494000000000003E-2</v>
      </c>
      <c r="F123" s="1268">
        <v>0.11900399999999998</v>
      </c>
      <c r="G123" s="1268">
        <v>0.14521200000000001</v>
      </c>
      <c r="H123" s="1268">
        <v>0.16969200000000001</v>
      </c>
      <c r="I123" s="1268">
        <v>0.19164599999999998</v>
      </c>
      <c r="J123" s="1268">
        <v>0.21069599999999997</v>
      </c>
      <c r="K123" s="1268">
        <v>0.230022</v>
      </c>
      <c r="L123" s="1269">
        <v>0.24579000000000001</v>
      </c>
      <c r="M123" s="1270">
        <v>0.25759199999999999</v>
      </c>
      <c r="N123" s="1270">
        <v>0.26609399999999994</v>
      </c>
      <c r="O123" s="1270">
        <v>0.27526800000000001</v>
      </c>
      <c r="P123" s="1270">
        <v>0.285912</v>
      </c>
      <c r="Q123" s="1278">
        <v>0.30340199999999995</v>
      </c>
      <c r="R123" s="866">
        <v>0.75</v>
      </c>
      <c r="AJ123" s="745"/>
      <c r="AK123" s="745"/>
      <c r="AL123" s="745"/>
      <c r="AM123" s="745"/>
      <c r="AO123" s="787"/>
      <c r="AP123" s="787"/>
      <c r="AQ123" s="787"/>
      <c r="AV123" s="787"/>
      <c r="AW123" s="787"/>
      <c r="AX123" s="787"/>
    </row>
    <row r="124" spans="1:98" ht="13.8" thickBot="1">
      <c r="B124" s="819"/>
      <c r="C124" s="817" t="s">
        <v>166</v>
      </c>
      <c r="D124" s="166"/>
      <c r="E124" s="1271">
        <v>0.12728399999999998</v>
      </c>
      <c r="F124" s="1272">
        <v>0.16400399999999998</v>
      </c>
      <c r="G124" s="1272">
        <v>0.19636199999999995</v>
      </c>
      <c r="H124" s="1272">
        <v>0.22632599999999997</v>
      </c>
      <c r="I124" s="1272">
        <v>0.25067400000000001</v>
      </c>
      <c r="J124" s="1272">
        <v>0.27195599999999998</v>
      </c>
      <c r="K124" s="1272">
        <v>0.28700400000000004</v>
      </c>
      <c r="L124" s="1273">
        <v>0.30083399999999999</v>
      </c>
      <c r="M124" s="1274">
        <v>0.31490399999999996</v>
      </c>
      <c r="N124" s="1274">
        <v>0.33036599999999999</v>
      </c>
      <c r="O124" s="1274">
        <v>0.339198</v>
      </c>
      <c r="P124" s="1274">
        <v>0.34679399999999999</v>
      </c>
      <c r="Q124" s="1275">
        <v>0.35220000000000001</v>
      </c>
      <c r="R124" s="867">
        <v>0.75</v>
      </c>
      <c r="AJ124" s="745"/>
      <c r="AK124" s="745"/>
      <c r="AL124" s="745"/>
      <c r="AM124" s="745"/>
      <c r="AO124" s="787"/>
      <c r="AP124" s="787"/>
      <c r="AQ124" s="787"/>
      <c r="AV124" s="787"/>
      <c r="AW124" s="787"/>
      <c r="AX124" s="787"/>
    </row>
    <row r="125" spans="1:98">
      <c r="B125" s="198"/>
      <c r="C125" s="198"/>
      <c r="D125" s="195"/>
      <c r="E125" s="167"/>
      <c r="F125" s="167"/>
      <c r="G125" s="184"/>
      <c r="H125" s="167"/>
      <c r="I125" s="167"/>
      <c r="J125" s="166"/>
      <c r="K125" s="167"/>
      <c r="L125" s="167"/>
      <c r="M125" s="184"/>
      <c r="N125" s="167"/>
      <c r="O125" s="167"/>
      <c r="P125" s="184"/>
      <c r="Q125" s="167"/>
      <c r="R125" s="167"/>
      <c r="AJ125" s="745"/>
      <c r="AK125" s="745"/>
      <c r="AL125" s="745"/>
      <c r="AM125" s="745"/>
      <c r="AO125" s="787"/>
      <c r="AP125" s="787"/>
      <c r="AQ125" s="787"/>
      <c r="AV125" s="787"/>
      <c r="AW125" s="787"/>
      <c r="AX125" s="787"/>
    </row>
    <row r="126" spans="1:98">
      <c r="AO126" s="787"/>
      <c r="AP126" s="787"/>
      <c r="AQ126" s="787"/>
      <c r="AV126" s="787"/>
      <c r="AW126" s="787"/>
      <c r="AX126" s="787"/>
    </row>
    <row r="127" spans="1:98" s="707" customFormat="1">
      <c r="A127" s="706" t="s">
        <v>418</v>
      </c>
      <c r="B127" s="1328" t="s">
        <v>418</v>
      </c>
      <c r="C127" s="708"/>
      <c r="I127" s="709"/>
      <c r="J127" s="709"/>
      <c r="K127" s="710"/>
      <c r="L127" s="711"/>
      <c r="M127" s="712"/>
      <c r="AV127" s="911"/>
      <c r="AW127" s="911"/>
      <c r="AX127" s="911"/>
      <c r="CT127" s="706"/>
    </row>
  </sheetData>
  <sortState ref="CF66:CI80">
    <sortCondition ref="CI66:CI80"/>
  </sortState>
  <mergeCells count="26">
    <mergeCell ref="CM37:CS40"/>
    <mergeCell ref="CM9:CS12"/>
    <mergeCell ref="CM13:CS14"/>
    <mergeCell ref="AI10:AL10"/>
    <mergeCell ref="CF33:CK35"/>
    <mergeCell ref="AO35:AW37"/>
    <mergeCell ref="AI21:AL21"/>
    <mergeCell ref="AO29:AW30"/>
    <mergeCell ref="AO32:AW33"/>
    <mergeCell ref="AJ1:AK1"/>
    <mergeCell ref="B1:C1"/>
    <mergeCell ref="B3:C3"/>
    <mergeCell ref="B4:C4"/>
    <mergeCell ref="B5:C5"/>
    <mergeCell ref="B17:C17"/>
    <mergeCell ref="B6:C6"/>
    <mergeCell ref="B18:C18"/>
    <mergeCell ref="B7:C7"/>
    <mergeCell ref="B19:C19"/>
    <mergeCell ref="B8:C8"/>
    <mergeCell ref="B9:C9"/>
    <mergeCell ref="B11:C11"/>
    <mergeCell ref="B12:C12"/>
    <mergeCell ref="B14:C14"/>
    <mergeCell ref="B15:C15"/>
    <mergeCell ref="B16:C16"/>
  </mergeCells>
  <dataValidations count="4">
    <dataValidation type="list" allowBlank="1" showInputMessage="1" showErrorMessage="1" sqref="C24 C10">
      <formula1>$A$43:$A$44</formula1>
    </dataValidation>
    <dataValidation type="list" allowBlank="1" showInputMessage="1" showErrorMessage="1" sqref="B20">
      <formula1>$A$40:$A$41</formula1>
    </dataValidation>
    <dataValidation type="list" allowBlank="1" showInputMessage="1" showErrorMessage="1" sqref="D14:R14">
      <formula1>$C$66:$C$76</formula1>
    </dataValidation>
    <dataValidation type="list" allowBlank="1" showInputMessage="1" showErrorMessage="1" sqref="G2 P2 M2 D2 J2">
      <formula1>$E$56:$Q$56</formula1>
    </dataValidation>
  </dataValidations>
  <pageMargins left="0.78740157480314965" right="0.78740157480314965" top="0.98425196850393704" bottom="0.98425196850393704" header="0.51181102362204722" footer="0.51181102362204722"/>
  <pageSetup paperSize="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sheetPr>
    <tabColor theme="2"/>
  </sheetPr>
  <dimension ref="A9:AE167"/>
  <sheetViews>
    <sheetView showGridLines="0" topLeftCell="A9" zoomScale="80" zoomScaleNormal="80" workbookViewId="0">
      <pane xSplit="2" ySplit="1" topLeftCell="C10" activePane="bottomRight" state="frozen"/>
      <selection activeCell="A9" sqref="A9"/>
      <selection pane="topRight" activeCell="C9" sqref="C9"/>
      <selection pane="bottomLeft" activeCell="A10" sqref="A10"/>
      <selection pane="bottomRight" activeCell="W32" sqref="W32"/>
    </sheetView>
  </sheetViews>
  <sheetFormatPr baseColWidth="10" defaultRowHeight="13.2"/>
  <cols>
    <col min="1" max="1" width="21.33203125" style="603" customWidth="1"/>
    <col min="2" max="2" width="10.21875" style="603" customWidth="1"/>
    <col min="3" max="3" width="13" style="603" customWidth="1"/>
    <col min="4" max="21" width="11.5546875" style="603"/>
    <col min="22" max="22" width="11.5546875" style="1330"/>
    <col min="23" max="16384" width="11.5546875" style="603"/>
  </cols>
  <sheetData>
    <row r="9" spans="1:30">
      <c r="A9" s="561" t="s">
        <v>398</v>
      </c>
      <c r="B9" s="561"/>
      <c r="V9" s="1330" t="s">
        <v>418</v>
      </c>
      <c r="Z9" s="606"/>
      <c r="AA9" s="606"/>
      <c r="AB9" s="606"/>
      <c r="AC9" s="606"/>
      <c r="AD9" s="606"/>
    </row>
    <row r="10" spans="1:30">
      <c r="Z10" s="606"/>
      <c r="AA10" s="606"/>
      <c r="AB10" s="606"/>
      <c r="AC10" s="606"/>
      <c r="AD10" s="606"/>
    </row>
    <row r="11" spans="1:30" s="611" customFormat="1">
      <c r="A11" s="607" t="s">
        <v>360</v>
      </c>
      <c r="B11" s="607"/>
      <c r="C11" s="1168" t="s">
        <v>496</v>
      </c>
      <c r="D11" s="608"/>
      <c r="E11" s="608"/>
      <c r="F11" s="608"/>
      <c r="G11" s="608"/>
      <c r="H11" s="607"/>
      <c r="I11" s="607"/>
      <c r="J11" s="607"/>
      <c r="K11" s="607"/>
      <c r="L11" s="607"/>
      <c r="M11" s="607"/>
      <c r="N11" s="607"/>
      <c r="O11" s="607"/>
      <c r="P11" s="608"/>
      <c r="Q11" s="608"/>
      <c r="R11" s="608"/>
      <c r="S11" s="608"/>
      <c r="T11" s="608"/>
      <c r="U11" s="609"/>
      <c r="V11" s="1331"/>
      <c r="W11" s="609"/>
      <c r="X11" s="609"/>
      <c r="Y11" s="609"/>
      <c r="Z11" s="609"/>
      <c r="AA11" s="609"/>
      <c r="AB11" s="610"/>
      <c r="AC11" s="610"/>
      <c r="AD11" s="610"/>
    </row>
    <row r="12" spans="1:30" s="610" customFormat="1">
      <c r="A12" s="612"/>
      <c r="B12" s="612"/>
      <c r="C12" s="609"/>
      <c r="D12" s="609"/>
      <c r="E12" s="609"/>
      <c r="F12" s="609"/>
      <c r="G12" s="609"/>
      <c r="H12" s="612"/>
      <c r="I12" s="612"/>
      <c r="J12" s="612"/>
      <c r="K12" s="612"/>
      <c r="L12" s="612"/>
      <c r="M12" s="612"/>
      <c r="N12" s="612"/>
      <c r="O12" s="612"/>
      <c r="P12" s="609"/>
      <c r="Q12" s="609"/>
      <c r="R12" s="609"/>
      <c r="S12" s="609"/>
      <c r="T12" s="609"/>
      <c r="U12" s="609"/>
      <c r="V12" s="1331"/>
      <c r="W12" s="609"/>
      <c r="X12" s="609"/>
      <c r="Y12" s="609"/>
      <c r="Z12" s="609"/>
      <c r="AA12" s="609"/>
    </row>
    <row r="13" spans="1:30" s="610" customFormat="1">
      <c r="A13" s="617" t="s">
        <v>498</v>
      </c>
      <c r="B13" s="617"/>
      <c r="C13" s="613" t="s">
        <v>497</v>
      </c>
      <c r="D13" s="609"/>
      <c r="E13" s="609"/>
      <c r="F13" s="609"/>
      <c r="G13" s="609"/>
      <c r="H13" s="612"/>
      <c r="I13" s="612"/>
      <c r="K13" s="612"/>
      <c r="L13" s="612"/>
      <c r="N13" s="612"/>
      <c r="O13" s="612"/>
      <c r="P13" s="609"/>
      <c r="Q13" s="609"/>
      <c r="R13" s="609"/>
      <c r="S13" s="609"/>
      <c r="T13" s="609"/>
      <c r="U13" s="609"/>
      <c r="V13" s="1331"/>
      <c r="W13" s="609"/>
      <c r="X13" s="609"/>
      <c r="Y13" s="609"/>
      <c r="Z13" s="609"/>
      <c r="AA13" s="609"/>
    </row>
    <row r="14" spans="1:30" s="610" customFormat="1">
      <c r="A14" s="612"/>
      <c r="B14" s="612"/>
      <c r="C14" s="609"/>
      <c r="D14" s="609"/>
      <c r="E14" s="609"/>
      <c r="F14" s="609"/>
      <c r="G14" s="609"/>
      <c r="H14" s="612"/>
      <c r="I14" s="612"/>
      <c r="J14" s="612"/>
      <c r="K14" s="612"/>
      <c r="L14" s="612"/>
      <c r="M14" s="612"/>
      <c r="N14" s="612"/>
      <c r="O14" s="612"/>
      <c r="P14" s="609"/>
      <c r="Q14" s="609"/>
      <c r="R14" s="609"/>
      <c r="S14" s="609"/>
      <c r="T14" s="609"/>
      <c r="U14" s="609"/>
      <c r="V14" s="1331"/>
      <c r="W14" s="609"/>
      <c r="X14" s="609"/>
      <c r="Y14" s="609"/>
      <c r="Z14" s="609"/>
      <c r="AA14" s="609"/>
    </row>
    <row r="15" spans="1:30" s="610" customFormat="1">
      <c r="A15" s="591"/>
      <c r="B15" s="614"/>
      <c r="C15" s="615" t="s">
        <v>389</v>
      </c>
      <c r="D15" s="615" t="s">
        <v>76</v>
      </c>
      <c r="E15" s="615" t="s">
        <v>424</v>
      </c>
      <c r="F15" s="616" t="s">
        <v>3</v>
      </c>
      <c r="G15" s="616" t="s">
        <v>2</v>
      </c>
      <c r="H15" s="616" t="s">
        <v>137</v>
      </c>
      <c r="I15" s="612"/>
      <c r="J15" s="612"/>
      <c r="Q15" s="609"/>
      <c r="R15" s="609"/>
      <c r="S15" s="609"/>
      <c r="T15" s="609"/>
      <c r="U15" s="609"/>
      <c r="V15" s="1331"/>
      <c r="W15" s="609"/>
      <c r="X15" s="609"/>
      <c r="Y15" s="609"/>
      <c r="Z15" s="609"/>
      <c r="AA15" s="609"/>
    </row>
    <row r="16" spans="1:30" s="610" customFormat="1" ht="13.8">
      <c r="A16" s="609" t="s">
        <v>422</v>
      </c>
      <c r="B16" s="614"/>
      <c r="C16" s="590">
        <f>C48</f>
        <v>8.1555337818754861E-2</v>
      </c>
      <c r="D16" s="590">
        <f>J48</f>
        <v>8.7834696185358122E-2</v>
      </c>
      <c r="E16" s="590">
        <f>D16-C16</f>
        <v>6.2793583666032604E-3</v>
      </c>
      <c r="F16" s="589">
        <f>F48</f>
        <v>7.6172970707316712E-2</v>
      </c>
      <c r="G16" s="589">
        <f>H48</f>
        <v>8.7662972620182106E-2</v>
      </c>
      <c r="H16" s="589">
        <f>E48</f>
        <v>9.9730784592595989E-2</v>
      </c>
      <c r="K16" s="1203"/>
      <c r="L16" s="1203"/>
      <c r="M16" s="1203"/>
      <c r="N16" s="1204"/>
      <c r="O16" s="1204"/>
      <c r="P16" s="1204"/>
      <c r="Q16" s="1202"/>
      <c r="R16" s="609"/>
      <c r="S16" s="609"/>
      <c r="T16" s="609"/>
      <c r="U16" s="609"/>
      <c r="V16" s="1331"/>
      <c r="W16" s="609"/>
      <c r="X16" s="609"/>
      <c r="Y16" s="609"/>
      <c r="Z16" s="609"/>
      <c r="AA16" s="609"/>
    </row>
    <row r="17" spans="1:27" s="610" customFormat="1" ht="13.8">
      <c r="A17" s="737" t="s">
        <v>414</v>
      </c>
      <c r="B17" s="614"/>
      <c r="C17" s="738">
        <f>C48-D48</f>
        <v>-1.7369491752522212E-2</v>
      </c>
      <c r="D17" s="738">
        <f>J48-K48</f>
        <v>-1.5106335476511287E-2</v>
      </c>
      <c r="E17" s="589">
        <f>'WACC BIPT &amp; Cullen 2013'!Y28-'WACC BIPT &amp; Cullen 2013'!V28</f>
        <v>4.0162020905923357E-3</v>
      </c>
      <c r="F17" s="739">
        <f>F48-G48</f>
        <v>-2.3990277285411657E-2</v>
      </c>
      <c r="G17" s="739">
        <f>H48-I48</f>
        <v>-1.607339308198423E-2</v>
      </c>
      <c r="H17" s="589"/>
      <c r="I17" s="577"/>
      <c r="K17" s="1203"/>
      <c r="L17" s="1203"/>
      <c r="M17" s="1204"/>
      <c r="N17" s="1204"/>
      <c r="O17" s="1204"/>
      <c r="P17" s="1204"/>
      <c r="Q17" s="1202"/>
      <c r="R17" s="609"/>
      <c r="S17" s="609"/>
      <c r="T17" s="609"/>
      <c r="U17" s="609"/>
      <c r="V17" s="1331"/>
      <c r="W17" s="609"/>
      <c r="X17" s="609"/>
      <c r="Y17" s="609"/>
      <c r="Z17" s="609"/>
      <c r="AA17" s="609"/>
    </row>
    <row r="18" spans="1:27" s="610" customFormat="1" ht="13.8">
      <c r="A18" s="615" t="s">
        <v>423</v>
      </c>
      <c r="B18" s="614"/>
      <c r="C18" s="590">
        <f>C51</f>
        <v>7.5371399203567876E-2</v>
      </c>
      <c r="D18" s="590">
        <f>J51</f>
        <v>8.6303071530882375E-2</v>
      </c>
      <c r="E18" s="590">
        <f>D18-C18</f>
        <v>1.0931672327314498E-2</v>
      </c>
      <c r="F18" s="589">
        <f>F51</f>
        <v>7.138444305194426E-2</v>
      </c>
      <c r="G18" s="589">
        <f>H51</f>
        <v>8.6142783260974132E-2</v>
      </c>
      <c r="H18" s="589">
        <f>E51</f>
        <v>9.4174611436272107E-2</v>
      </c>
      <c r="I18" s="577"/>
      <c r="J18" s="577"/>
      <c r="K18" s="1203"/>
      <c r="L18" s="1203"/>
      <c r="M18" s="1203"/>
      <c r="N18" s="1204"/>
      <c r="O18" s="1204"/>
      <c r="P18" s="1204"/>
      <c r="Q18" s="1202"/>
      <c r="R18" s="609"/>
      <c r="S18" s="609"/>
      <c r="T18" s="609"/>
      <c r="U18" s="609"/>
      <c r="V18" s="1331"/>
      <c r="W18" s="609"/>
      <c r="X18" s="609"/>
      <c r="Y18" s="609"/>
      <c r="Z18" s="609"/>
      <c r="AA18" s="609"/>
    </row>
    <row r="19" spans="1:27" s="610" customFormat="1" ht="13.8">
      <c r="A19" s="616" t="s">
        <v>390</v>
      </c>
      <c r="B19" s="614"/>
      <c r="C19" s="589">
        <f>'WACC BIPT &amp; Cullen 2013'!V38</f>
        <v>9.6121785799172826E-2</v>
      </c>
      <c r="D19" s="589">
        <f>'WACC BIPT &amp; Cullen 2013'!Y38</f>
        <v>0.1004917173404925</v>
      </c>
      <c r="E19" s="589">
        <f>D19-C19</f>
        <v>4.3699315413196771E-3</v>
      </c>
      <c r="F19" s="589">
        <f>'WACC BIPT &amp; Cullen 2013'!U38</f>
        <v>9.6986465051010232E-2</v>
      </c>
      <c r="G19" s="589">
        <f>'WACC BIPT &amp; Cullen 2013'!X38</f>
        <v>0.10128705138078943</v>
      </c>
      <c r="H19" s="589"/>
      <c r="I19" s="577"/>
      <c r="J19" s="577"/>
      <c r="K19" s="1204"/>
      <c r="L19" s="1204"/>
      <c r="M19" s="1204"/>
      <c r="N19" s="1204"/>
      <c r="O19" s="1204"/>
      <c r="P19" s="1204"/>
      <c r="Q19" s="1202"/>
      <c r="R19" s="609"/>
      <c r="S19" s="609"/>
      <c r="T19" s="609"/>
      <c r="U19" s="609"/>
      <c r="V19" s="1331"/>
      <c r="W19" s="609"/>
      <c r="X19" s="609"/>
      <c r="Y19" s="609"/>
      <c r="Z19" s="609"/>
      <c r="AA19" s="609"/>
    </row>
    <row r="20" spans="1:27" s="610" customFormat="1" ht="13.8">
      <c r="A20" s="662" t="s">
        <v>414</v>
      </c>
      <c r="B20" s="614"/>
      <c r="C20" s="898">
        <f>C52</f>
        <v>-2.075038659560495E-2</v>
      </c>
      <c r="D20" s="898">
        <f>J52</f>
        <v>-1.4188645809610129E-2</v>
      </c>
      <c r="E20" s="899"/>
      <c r="F20" s="899">
        <f>F52</f>
        <v>-2.5602021999065971E-2</v>
      </c>
      <c r="G20" s="899">
        <f>H52</f>
        <v>-1.5144268119815299E-2</v>
      </c>
      <c r="H20" s="663"/>
      <c r="I20" s="577"/>
      <c r="J20" s="577"/>
      <c r="K20" s="1203"/>
      <c r="L20" s="1203"/>
      <c r="M20" s="1204"/>
      <c r="N20" s="1204"/>
      <c r="O20" s="1204"/>
      <c r="P20" s="1204"/>
      <c r="Q20" s="1202"/>
      <c r="R20" s="609"/>
      <c r="S20" s="609"/>
      <c r="T20" s="609"/>
      <c r="U20" s="609"/>
      <c r="V20" s="1331"/>
      <c r="W20" s="609"/>
      <c r="X20" s="609"/>
      <c r="Y20" s="609"/>
      <c r="Z20" s="609"/>
      <c r="AA20" s="609"/>
    </row>
    <row r="21" spans="1:27" s="610" customFormat="1" ht="13.8">
      <c r="A21" s="663"/>
      <c r="B21" s="614"/>
      <c r="C21" s="616" t="s">
        <v>384</v>
      </c>
      <c r="D21" s="616" t="s">
        <v>385</v>
      </c>
      <c r="E21" s="589">
        <f>'(Cullen 2010 Mobile)'!C11-'(Cullen 2010 Fixed)'!C18</f>
        <v>1.0399999999999993E-2</v>
      </c>
      <c r="F21" s="589"/>
      <c r="G21" s="590"/>
      <c r="H21" s="590"/>
      <c r="I21" s="577"/>
      <c r="J21" s="577"/>
      <c r="K21" s="1205"/>
      <c r="L21" s="1205"/>
      <c r="M21" s="1205"/>
      <c r="N21" s="1205"/>
      <c r="O21" s="1206"/>
      <c r="P21" s="1206"/>
      <c r="Q21" s="1202"/>
      <c r="R21" s="609"/>
      <c r="S21" s="609"/>
      <c r="T21" s="609"/>
      <c r="U21" s="609"/>
      <c r="V21" s="1331"/>
      <c r="W21" s="609"/>
      <c r="X21" s="609"/>
      <c r="Y21" s="609"/>
      <c r="Z21" s="609"/>
      <c r="AA21" s="609"/>
    </row>
    <row r="22" spans="1:27" s="610" customFormat="1" ht="13.8">
      <c r="A22" s="737" t="s">
        <v>499</v>
      </c>
      <c r="B22" s="614"/>
      <c r="C22" s="664">
        <f>P57</f>
        <v>0</v>
      </c>
      <c r="D22" s="664">
        <f>Q57</f>
        <v>0</v>
      </c>
      <c r="E22" s="589"/>
      <c r="F22" s="589"/>
      <c r="G22" s="589"/>
      <c r="H22" s="590"/>
      <c r="I22" s="577"/>
      <c r="J22" s="577"/>
      <c r="K22" s="1207"/>
      <c r="L22" s="1207"/>
      <c r="M22" s="1205"/>
      <c r="N22" s="1205"/>
      <c r="O22" s="1205"/>
      <c r="P22" s="1206"/>
      <c r="Q22" s="1202"/>
      <c r="R22" s="609"/>
      <c r="S22" s="609"/>
      <c r="T22" s="609"/>
      <c r="U22" s="609"/>
      <c r="V22" s="1331"/>
      <c r="W22" s="609"/>
      <c r="X22" s="609"/>
      <c r="Y22" s="609"/>
      <c r="Z22" s="609"/>
      <c r="AA22" s="609"/>
    </row>
    <row r="23" spans="1:27" s="610" customFormat="1">
      <c r="I23" s="577"/>
      <c r="J23" s="577"/>
      <c r="K23" s="577"/>
      <c r="L23" s="612"/>
      <c r="M23" s="612"/>
      <c r="N23" s="612"/>
      <c r="O23" s="612"/>
      <c r="P23" s="609"/>
      <c r="Q23" s="609"/>
      <c r="R23" s="609"/>
      <c r="S23" s="609"/>
      <c r="T23" s="609"/>
      <c r="U23" s="609"/>
      <c r="V23" s="1331"/>
      <c r="W23" s="609"/>
      <c r="X23" s="609"/>
      <c r="Y23" s="609"/>
      <c r="Z23" s="609"/>
      <c r="AA23" s="609"/>
    </row>
    <row r="24" spans="1:27" s="610" customFormat="1">
      <c r="S24" s="609"/>
      <c r="T24" s="609"/>
      <c r="U24" s="609"/>
      <c r="V24" s="1331"/>
      <c r="W24" s="609"/>
      <c r="X24" s="609"/>
      <c r="Y24" s="609"/>
      <c r="Z24" s="609"/>
      <c r="AA24" s="609"/>
    </row>
    <row r="25" spans="1:27" s="610" customFormat="1">
      <c r="A25" s="612"/>
      <c r="B25" s="612"/>
      <c r="C25" s="613" t="s">
        <v>500</v>
      </c>
      <c r="D25" s="618"/>
      <c r="E25" s="619"/>
      <c r="F25" s="609"/>
      <c r="G25" s="609"/>
      <c r="H25" s="612"/>
      <c r="I25" s="612"/>
      <c r="J25" s="612"/>
      <c r="K25" s="612"/>
      <c r="L25" s="612"/>
      <c r="M25" s="613" t="s">
        <v>502</v>
      </c>
      <c r="N25" s="573"/>
      <c r="O25" s="572"/>
      <c r="P25" s="612"/>
      <c r="Q25" s="609"/>
      <c r="R25" s="609"/>
      <c r="S25" s="609"/>
      <c r="T25" s="609"/>
      <c r="U25" s="609"/>
      <c r="V25" s="1331"/>
      <c r="W25" s="609"/>
      <c r="X25" s="609"/>
      <c r="Y25" s="609"/>
      <c r="Z25" s="609"/>
      <c r="AA25" s="609"/>
    </row>
    <row r="26" spans="1:27">
      <c r="A26" s="1169" t="s">
        <v>501</v>
      </c>
      <c r="B26" s="621"/>
      <c r="L26" s="621"/>
      <c r="M26" s="621"/>
      <c r="N26" s="621"/>
      <c r="O26" s="621"/>
      <c r="P26" s="620"/>
      <c r="Q26" s="621"/>
    </row>
    <row r="27" spans="1:27">
      <c r="A27" s="625" t="s">
        <v>364</v>
      </c>
      <c r="B27" s="625" t="s">
        <v>10</v>
      </c>
      <c r="C27" s="566">
        <f>'WACC BIPT &amp; Cullen 2013'!J7</f>
        <v>0.33989999999999998</v>
      </c>
      <c r="D27" s="579">
        <f>'WACC BIPT &amp; Cullen 2013'!$U7</f>
        <v>0.33989999999999998</v>
      </c>
      <c r="E27" s="579">
        <f>'WACC BIPT &amp; Cullen 2013'!G7</f>
        <v>0.33989999999999998</v>
      </c>
      <c r="F27" s="579">
        <f>'WACC BIPT &amp; Cullen 2013'!D7</f>
        <v>0.33989999999999998</v>
      </c>
      <c r="G27" s="579">
        <f>'WACC BIPT &amp; Cullen 2013'!$U7</f>
        <v>0.33989999999999998</v>
      </c>
      <c r="H27" s="579">
        <f>'WACC BIPT &amp; Cullen 2013'!M7</f>
        <v>0.33989999999999998</v>
      </c>
      <c r="I27" s="579">
        <f>'WACC BIPT &amp; Cullen 2013'!$U7</f>
        <v>0.33989999999999998</v>
      </c>
      <c r="J27" s="579">
        <f>'WACC BIPT &amp; Cullen 2013'!P7</f>
        <v>0.33989999999999998</v>
      </c>
      <c r="K27" s="579">
        <f>'WACC BIPT &amp; Cullen 2013'!$U7</f>
        <v>0.33989999999999998</v>
      </c>
      <c r="L27" s="621"/>
      <c r="M27" s="621"/>
      <c r="N27" s="562"/>
      <c r="O27" s="621"/>
      <c r="P27" s="562"/>
      <c r="Q27" s="621"/>
    </row>
    <row r="28" spans="1:27">
      <c r="A28" s="626" t="s">
        <v>369</v>
      </c>
      <c r="B28" s="626"/>
      <c r="C28" s="627" t="str">
        <f>'WACC BIPT &amp; Cullen 2013'!J2</f>
        <v>10Y</v>
      </c>
      <c r="D28" s="628" t="str">
        <f>'WACC BIPT &amp; Cullen 2013'!$U2</f>
        <v>10Y</v>
      </c>
      <c r="E28" s="629" t="str">
        <f>'WACC BIPT &amp; Cullen 2013'!G2</f>
        <v>10Y</v>
      </c>
      <c r="F28" s="629" t="str">
        <f>'WACC BIPT &amp; Cullen 2013'!D2</f>
        <v>10Y</v>
      </c>
      <c r="G28" s="630" t="str">
        <f>'WACC BIPT &amp; Cullen 2013'!$U2</f>
        <v>10Y</v>
      </c>
      <c r="H28" s="629" t="str">
        <f>'WACC BIPT &amp; Cullen 2013'!M2</f>
        <v>10Y</v>
      </c>
      <c r="I28" s="630" t="str">
        <f>'WACC BIPT &amp; Cullen 2013'!$U2</f>
        <v>10Y</v>
      </c>
      <c r="J28" s="629" t="str">
        <f>'WACC BIPT &amp; Cullen 2013'!P2</f>
        <v>10Y</v>
      </c>
      <c r="K28" s="630" t="str">
        <f>'WACC BIPT &amp; Cullen 2013'!$U2</f>
        <v>10Y</v>
      </c>
      <c r="L28" s="621"/>
      <c r="O28" s="621"/>
      <c r="R28" s="621"/>
    </row>
    <row r="29" spans="1:27">
      <c r="A29" s="620" t="s">
        <v>7</v>
      </c>
      <c r="B29" s="620" t="s">
        <v>0</v>
      </c>
      <c r="C29" s="562">
        <f>'WACC BIPT &amp; Cullen 2013'!J3</f>
        <v>2.6303155319238606E-2</v>
      </c>
      <c r="D29" s="567">
        <f>'WACC BIPT &amp; Cullen 2013'!$U3</f>
        <v>0.04</v>
      </c>
      <c r="E29" s="578">
        <f>'WACC BIPT &amp; Cullen 2013'!G3</f>
        <v>2.6303155319238606E-2</v>
      </c>
      <c r="F29" s="578">
        <f>'WACC BIPT &amp; Cullen 2013'!D3</f>
        <v>2.6303155319238606E-2</v>
      </c>
      <c r="G29" s="578">
        <f>'WACC BIPT &amp; Cullen 2013'!$U3</f>
        <v>0.04</v>
      </c>
      <c r="H29" s="578">
        <f>'WACC BIPT &amp; Cullen 2013'!M3</f>
        <v>2.6303155319238606E-2</v>
      </c>
      <c r="I29" s="578">
        <f>'WACC BIPT &amp; Cullen 2013'!$U3</f>
        <v>0.04</v>
      </c>
      <c r="J29" s="578">
        <f>'WACC BIPT &amp; Cullen 2013'!P3</f>
        <v>2.6303155319238606E-2</v>
      </c>
      <c r="K29" s="578">
        <f>'WACC BIPT &amp; Cullen 2013'!$U3</f>
        <v>0.04</v>
      </c>
      <c r="L29" s="621"/>
      <c r="M29" s="631" t="s">
        <v>7</v>
      </c>
      <c r="N29" s="1170"/>
      <c r="O29" s="631" t="s">
        <v>0</v>
      </c>
      <c r="P29" s="563">
        <f>C29-D29</f>
        <v>-1.3696844680761395E-2</v>
      </c>
      <c r="Q29" s="740"/>
      <c r="R29" s="562"/>
    </row>
    <row r="30" spans="1:27">
      <c r="A30" s="620" t="s">
        <v>8</v>
      </c>
      <c r="B30" s="620" t="s">
        <v>132</v>
      </c>
      <c r="C30" s="562">
        <f>'WACC BIPT &amp; Cullen 2013'!J5</f>
        <v>5.3854791237840642E-2</v>
      </c>
      <c r="D30" s="567">
        <f>'WACC BIPT &amp; Cullen 2013'!$U5</f>
        <v>5.2499999999999998E-2</v>
      </c>
      <c r="E30" s="578">
        <f>'WACC BIPT &amp; Cullen 2013'!G5</f>
        <v>5.3854791237840642E-2</v>
      </c>
      <c r="F30" s="578">
        <f>'WACC BIPT &amp; Cullen 2013'!D5</f>
        <v>5.3854791237840642E-2</v>
      </c>
      <c r="G30" s="578">
        <f>'WACC BIPT &amp; Cullen 2013'!$U5</f>
        <v>5.2499999999999998E-2</v>
      </c>
      <c r="H30" s="578">
        <f>'WACC BIPT &amp; Cullen 2013'!M5</f>
        <v>5.3854791237840642E-2</v>
      </c>
      <c r="I30" s="578">
        <f>'WACC BIPT &amp; Cullen 2013'!$U5</f>
        <v>5.2499999999999998E-2</v>
      </c>
      <c r="J30" s="578">
        <f>'WACC BIPT &amp; Cullen 2013'!P5</f>
        <v>5.3854791237840642E-2</v>
      </c>
      <c r="K30" s="578">
        <f>'WACC BIPT &amp; Cullen 2013'!$U5</f>
        <v>5.2499999999999998E-2</v>
      </c>
      <c r="L30" s="621"/>
      <c r="M30" s="620" t="s">
        <v>8</v>
      </c>
      <c r="N30" s="621"/>
      <c r="O30" s="620" t="s">
        <v>132</v>
      </c>
      <c r="P30" s="562">
        <f>C30-D30</f>
        <v>1.354791237840644E-3</v>
      </c>
      <c r="Q30" s="741"/>
      <c r="R30" s="562"/>
    </row>
    <row r="31" spans="1:27">
      <c r="A31" s="620" t="s">
        <v>368</v>
      </c>
      <c r="B31" s="620" t="s">
        <v>134</v>
      </c>
      <c r="C31" s="562">
        <f>'WACC BIPT &amp; Cullen 2013'!J4</f>
        <v>6.4031868806607058E-3</v>
      </c>
      <c r="D31" s="567"/>
      <c r="E31" s="578">
        <f>'WACC BIPT &amp; Cullen 2013'!G4</f>
        <v>6.4031868806607058E-3</v>
      </c>
      <c r="F31" s="578">
        <f>'WACC BIPT &amp; Cullen 2013'!D4</f>
        <v>6.4031868806607058E-3</v>
      </c>
      <c r="G31" s="578"/>
      <c r="H31" s="578">
        <f>'WACC BIPT &amp; Cullen 2013'!M4</f>
        <v>6.4031868806607058E-3</v>
      </c>
      <c r="I31" s="578"/>
      <c r="J31" s="578">
        <f>'WACC BIPT &amp; Cullen 2013'!P4</f>
        <v>6.4031868806607058E-3</v>
      </c>
      <c r="K31" s="578"/>
      <c r="L31" s="621"/>
      <c r="M31" s="620" t="s">
        <v>368</v>
      </c>
      <c r="N31" s="621"/>
      <c r="O31" s="620" t="s">
        <v>134</v>
      </c>
      <c r="P31" s="562">
        <f>C31-D31</f>
        <v>6.4031868806607058E-3</v>
      </c>
      <c r="Q31" s="741"/>
      <c r="R31" s="562"/>
    </row>
    <row r="32" spans="1:27">
      <c r="A32" s="635" t="s">
        <v>478</v>
      </c>
      <c r="B32" s="632" t="s">
        <v>4</v>
      </c>
      <c r="C32" s="562">
        <f>'WACC BIPT &amp; Cullen 2013'!J31</f>
        <v>2.7898562271062275E-2</v>
      </c>
      <c r="D32" s="567">
        <f>'WACC BIPT &amp; Cullen 2013'!V31</f>
        <v>3.7999999999999999E-2</v>
      </c>
      <c r="E32" s="578">
        <f>'WACC BIPT &amp; Cullen 2013'!G31</f>
        <v>2.7898562271062275E-2</v>
      </c>
      <c r="F32" s="578">
        <f>'WACC BIPT &amp; Cullen 2013'!D31</f>
        <v>2.7898562271062275E-2</v>
      </c>
      <c r="G32" s="578">
        <f>'WACC BIPT &amp; Cullen 2013'!U31</f>
        <v>3.7999999999999999E-2</v>
      </c>
      <c r="H32" s="578">
        <f>'WACC BIPT &amp; Cullen 2013'!M31</f>
        <v>2.7898562271062275E-2</v>
      </c>
      <c r="I32" s="578">
        <f>'WACC BIPT &amp; Cullen 2013'!X31</f>
        <v>3.7999999999999999E-2</v>
      </c>
      <c r="J32" s="578">
        <f>'WACC BIPT &amp; Cullen 2013'!P31</f>
        <v>2.7898562271062275E-2</v>
      </c>
      <c r="K32" s="578">
        <f>'WACC BIPT &amp; Cullen 2013'!Y31</f>
        <v>3.7999999999999999E-2</v>
      </c>
      <c r="L32" s="621"/>
      <c r="M32" s="1182" t="s">
        <v>478</v>
      </c>
      <c r="N32" s="1182"/>
      <c r="O32" s="1182" t="s">
        <v>4</v>
      </c>
      <c r="P32" s="1175">
        <f>C32-D32</f>
        <v>-1.0101437728937724E-2</v>
      </c>
      <c r="Q32" s="1172"/>
      <c r="R32" s="562"/>
    </row>
    <row r="33" spans="1:18">
      <c r="A33" s="1169" t="s">
        <v>505</v>
      </c>
      <c r="B33" s="620"/>
      <c r="C33" s="622" t="s">
        <v>363</v>
      </c>
      <c r="D33" s="623" t="s">
        <v>375</v>
      </c>
      <c r="E33" s="624" t="s">
        <v>137</v>
      </c>
      <c r="F33" s="624" t="s">
        <v>367</v>
      </c>
      <c r="G33" s="623" t="s">
        <v>376</v>
      </c>
      <c r="H33" s="624" t="s">
        <v>2</v>
      </c>
      <c r="I33" s="623" t="s">
        <v>377</v>
      </c>
      <c r="J33" s="622" t="s">
        <v>76</v>
      </c>
      <c r="K33" s="623" t="s">
        <v>374</v>
      </c>
      <c r="L33" s="621"/>
      <c r="O33" s="620"/>
      <c r="P33" s="1177" t="s">
        <v>363</v>
      </c>
      <c r="Q33" s="558" t="s">
        <v>76</v>
      </c>
      <c r="R33" s="562"/>
    </row>
    <row r="34" spans="1:18">
      <c r="A34" s="631" t="s">
        <v>427</v>
      </c>
      <c r="B34" s="631" t="s">
        <v>172</v>
      </c>
      <c r="C34" s="1147">
        <f>'WACC BIPT &amp; Cullen 2013'!J11</f>
        <v>0.4729330941660323</v>
      </c>
      <c r="D34" s="1148">
        <f>'WACC BIPT &amp; Cullen 2013'!V11</f>
        <v>0.4</v>
      </c>
      <c r="E34" s="1147">
        <f>'WACC BIPT &amp; Cullen 2013'!G11</f>
        <v>0.44444444444444442</v>
      </c>
      <c r="F34" s="1147">
        <f>'WACC BIPT &amp; Cullen 2013'!D11</f>
        <v>0.4</v>
      </c>
      <c r="G34" s="1148">
        <f>'WACC BIPT &amp; Cullen 2013'!U11</f>
        <v>0.32</v>
      </c>
      <c r="H34" s="1147">
        <f>'WACC BIPT &amp; Cullen 2013'!M11</f>
        <v>0.28041293785321875</v>
      </c>
      <c r="I34" s="1148">
        <f>'WACC BIPT &amp; Cullen 2013'!X11</f>
        <v>0.25</v>
      </c>
      <c r="J34" s="1147">
        <f>'WACC BIPT &amp; Cullen 2013'!P11</f>
        <v>0.27500000000000002</v>
      </c>
      <c r="K34" s="1148">
        <f>'WACC BIPT &amp; Cullen 2013'!Y11</f>
        <v>0.25</v>
      </c>
      <c r="L34" s="621"/>
      <c r="M34" s="631" t="s">
        <v>427</v>
      </c>
      <c r="N34" s="1170"/>
      <c r="O34" s="631" t="s">
        <v>172</v>
      </c>
      <c r="P34" s="1173">
        <f>'WACC BIPT &amp; Cullen 2013'!AJ11</f>
        <v>7.2933094166032275E-2</v>
      </c>
      <c r="Q34" s="1173">
        <f>'WACC BIPT &amp; Cullen 2013'!AK11</f>
        <v>2.5000000000000022E-2</v>
      </c>
      <c r="R34" s="4"/>
    </row>
    <row r="35" spans="1:18">
      <c r="A35" s="620"/>
      <c r="B35" s="620" t="s">
        <v>449</v>
      </c>
      <c r="C35" s="1154">
        <f t="shared" ref="C35:K35" si="0">C34/(1-C34)</f>
        <v>0.89729233410646325</v>
      </c>
      <c r="D35" s="1154">
        <f t="shared" si="0"/>
        <v>0.66666666666666674</v>
      </c>
      <c r="E35" s="1154">
        <f t="shared" si="0"/>
        <v>0.79999999999999993</v>
      </c>
      <c r="F35" s="1154">
        <f t="shared" si="0"/>
        <v>0.66666666666666674</v>
      </c>
      <c r="G35" s="1154">
        <f t="shared" si="0"/>
        <v>0.4705882352941177</v>
      </c>
      <c r="H35" s="1154">
        <f t="shared" si="0"/>
        <v>0.38968590821609317</v>
      </c>
      <c r="I35" s="1154">
        <f t="shared" si="0"/>
        <v>0.33333333333333331</v>
      </c>
      <c r="J35" s="1154">
        <f t="shared" si="0"/>
        <v>0.37931034482758624</v>
      </c>
      <c r="K35" s="1154">
        <f t="shared" si="0"/>
        <v>0.33333333333333331</v>
      </c>
      <c r="L35" s="621"/>
      <c r="M35" s="620"/>
      <c r="O35" s="628" t="s">
        <v>449</v>
      </c>
      <c r="P35" s="1183">
        <f>C35-D35</f>
        <v>0.23062566743979651</v>
      </c>
      <c r="Q35" s="1183">
        <f>J35-K35</f>
        <v>4.5977011494252928E-2</v>
      </c>
      <c r="R35" s="4"/>
    </row>
    <row r="36" spans="1:18">
      <c r="A36" s="620" t="s">
        <v>138</v>
      </c>
      <c r="B36" s="620"/>
      <c r="C36" s="735" t="str">
        <f>'WACC BIPT &amp; Cullen 2013'!J14</f>
        <v>BBB</v>
      </c>
      <c r="D36" s="567" t="str">
        <f>'WACC BIPT &amp; Cullen 2013'!V14</f>
        <v>BBB+</v>
      </c>
      <c r="E36" s="736" t="str">
        <f>'WACC BIPT &amp; Cullen 2013'!G14</f>
        <v>B+</v>
      </c>
      <c r="F36" s="736" t="str">
        <f>'WACC BIPT &amp; Cullen 2013'!D14</f>
        <v>A-</v>
      </c>
      <c r="G36" s="567" t="str">
        <f>'WACC BIPT &amp; Cullen 2013'!U14</f>
        <v>A</v>
      </c>
      <c r="H36" s="736" t="str">
        <f>'WACC BIPT &amp; Cullen 2013'!M14</f>
        <v>BBB</v>
      </c>
      <c r="I36" s="567" t="str">
        <f>'WACC BIPT &amp; Cullen 2013'!X14</f>
        <v>A-</v>
      </c>
      <c r="J36" s="736" t="str">
        <f>'WACC BIPT &amp; Cullen 2013'!P14</f>
        <v>BBB</v>
      </c>
      <c r="K36" s="567" t="str">
        <f>'WACC BIPT &amp; Cullen 2013'!Y14</f>
        <v>A-</v>
      </c>
      <c r="L36" s="621"/>
      <c r="M36" s="620" t="s">
        <v>138</v>
      </c>
      <c r="O36" s="620" t="s">
        <v>278</v>
      </c>
      <c r="P36" s="1174" t="s">
        <v>426</v>
      </c>
      <c r="Q36" s="1174" t="s">
        <v>477</v>
      </c>
      <c r="R36" s="574" t="s">
        <v>443</v>
      </c>
    </row>
    <row r="37" spans="1:18">
      <c r="A37" s="732" t="s">
        <v>14</v>
      </c>
      <c r="B37" s="732" t="s">
        <v>15</v>
      </c>
      <c r="C37" s="562">
        <f t="shared" ref="C37:K37" si="1">C46-C38-C29</f>
        <v>1.664773248407642E-2</v>
      </c>
      <c r="D37" s="562">
        <f t="shared" si="1"/>
        <v>1.4999999999999999E-2</v>
      </c>
      <c r="E37" s="562">
        <f t="shared" si="1"/>
        <v>6.5122033885350317E-2</v>
      </c>
      <c r="F37" s="562">
        <f t="shared" si="1"/>
        <v>1.2381910828025474E-2</v>
      </c>
      <c r="G37" s="562">
        <f t="shared" si="1"/>
        <v>1.2999999999999998E-2</v>
      </c>
      <c r="H37" s="562">
        <f t="shared" si="1"/>
        <v>1.664773248407642E-2</v>
      </c>
      <c r="I37" s="562">
        <f t="shared" si="1"/>
        <v>1.2999999999999998E-2</v>
      </c>
      <c r="J37" s="562">
        <f t="shared" si="1"/>
        <v>1.664773248407642E-2</v>
      </c>
      <c r="K37" s="562">
        <f t="shared" si="1"/>
        <v>1.2999999999999998E-2</v>
      </c>
      <c r="L37" s="621"/>
      <c r="M37" s="732" t="s">
        <v>14</v>
      </c>
      <c r="O37" s="732" t="s">
        <v>15</v>
      </c>
      <c r="P37" s="1176">
        <f t="shared" ref="P37:P44" si="2">C37-D37</f>
        <v>1.6477324840764203E-3</v>
      </c>
      <c r="Q37" s="1176">
        <f>J37-K37</f>
        <v>3.6477324840764221E-3</v>
      </c>
      <c r="R37" s="4"/>
    </row>
    <row r="38" spans="1:18">
      <c r="A38" s="620" t="s">
        <v>370</v>
      </c>
      <c r="B38" s="620" t="s">
        <v>145</v>
      </c>
      <c r="C38" s="562">
        <f>'WACC BIPT &amp; Cullen 2013'!J16</f>
        <v>1.5E-3</v>
      </c>
      <c r="D38" s="568">
        <f>'WACC BIPT &amp; Cullen 2013'!V16</f>
        <v>2E-3</v>
      </c>
      <c r="E38" s="578">
        <f>'WACC BIPT &amp; Cullen 2013'!G16</f>
        <v>1.5E-3</v>
      </c>
      <c r="F38" s="578">
        <f>'WACC BIPT &amp; Cullen 2013'!D16</f>
        <v>1.5E-3</v>
      </c>
      <c r="G38" s="581">
        <f>'WACC BIPT &amp; Cullen 2013'!U16</f>
        <v>2E-3</v>
      </c>
      <c r="H38" s="578">
        <f>'WACC BIPT &amp; Cullen 2013'!M16</f>
        <v>1.5E-3</v>
      </c>
      <c r="I38" s="581">
        <f>'WACC BIPT &amp; Cullen 2013'!X16</f>
        <v>2E-3</v>
      </c>
      <c r="J38" s="578">
        <f>'WACC BIPT &amp; Cullen 2013'!P16</f>
        <v>1.5E-3</v>
      </c>
      <c r="K38" s="581">
        <f>'WACC BIPT &amp; Cullen 2013'!Y16</f>
        <v>2E-3</v>
      </c>
      <c r="L38" s="621"/>
      <c r="M38" s="628" t="s">
        <v>370</v>
      </c>
      <c r="N38" s="1016"/>
      <c r="O38" s="628" t="s">
        <v>145</v>
      </c>
      <c r="P38" s="1175">
        <f t="shared" si="2"/>
        <v>-5.0000000000000001E-4</v>
      </c>
      <c r="Q38" s="1175">
        <f>P38</f>
        <v>-5.0000000000000001E-4</v>
      </c>
      <c r="R38" s="4"/>
    </row>
    <row r="39" spans="1:18">
      <c r="A39" s="732" t="s">
        <v>425</v>
      </c>
      <c r="B39" s="732" t="s">
        <v>503</v>
      </c>
      <c r="C39" s="742">
        <f>'WACC BIPT &amp; Cullen 2013'!J35</f>
        <v>1.224401443096097</v>
      </c>
      <c r="D39" s="742">
        <f>'WACC BIPT &amp; Cullen 2013'!V35</f>
        <v>4.1883831053397831</v>
      </c>
      <c r="E39" s="742">
        <f>'WACC BIPT &amp; Cullen 2013'!G35</f>
        <v>1.4363986148518662</v>
      </c>
      <c r="F39" s="742">
        <f>'WACC BIPT &amp; Cullen 2013'!D35</f>
        <v>1.7999999999999998</v>
      </c>
      <c r="G39" s="742">
        <f>'WACC BIPT &amp; Cullen 2013'!U35</f>
        <v>4.1883831053397831</v>
      </c>
      <c r="H39" s="742">
        <f>'WACC BIPT &amp; Cullen 2013'!M35</f>
        <v>6.8</v>
      </c>
      <c r="I39" s="742">
        <f>'WACC BIPT &amp; Cullen 2013'!X35</f>
        <v>5.9915856226291897</v>
      </c>
      <c r="J39" s="742">
        <f>'WACC BIPT &amp; Cullen 2013'!P35</f>
        <v>6.8</v>
      </c>
      <c r="K39" s="742">
        <f>'WACC BIPT &amp; Cullen 2013'!Y35</f>
        <v>5.9915856226291897</v>
      </c>
      <c r="L39" s="621"/>
      <c r="M39" s="732" t="s">
        <v>425</v>
      </c>
      <c r="N39" s="621"/>
      <c r="O39" s="732" t="s">
        <v>503</v>
      </c>
      <c r="P39" s="742">
        <f t="shared" si="2"/>
        <v>-2.9639816622436861</v>
      </c>
      <c r="Q39" s="742">
        <f t="shared" ref="Q39:Q44" si="3">J39-K39</f>
        <v>0.80841437737081012</v>
      </c>
      <c r="R39" s="4"/>
    </row>
    <row r="40" spans="1:18">
      <c r="B40" s="732" t="s">
        <v>5</v>
      </c>
      <c r="C40" s="1180">
        <f>1/C39</f>
        <v>0.81672559734276229</v>
      </c>
      <c r="D40" s="1180">
        <f t="shared" ref="D40:K40" si="4">1/D39</f>
        <v>0.23875561877926038</v>
      </c>
      <c r="E40" s="1180">
        <f t="shared" si="4"/>
        <v>0.69618557805635917</v>
      </c>
      <c r="F40" s="1180">
        <f t="shared" si="4"/>
        <v>0.55555555555555558</v>
      </c>
      <c r="G40" s="1180">
        <f t="shared" si="4"/>
        <v>0.23875561877926038</v>
      </c>
      <c r="H40" s="1180">
        <f t="shared" si="4"/>
        <v>0.14705882352941177</v>
      </c>
      <c r="I40" s="1180">
        <f t="shared" si="4"/>
        <v>0.16690072761760621</v>
      </c>
      <c r="J40" s="1180">
        <f t="shared" si="4"/>
        <v>0.14705882352941177</v>
      </c>
      <c r="K40" s="1180">
        <f t="shared" si="4"/>
        <v>0.16690072761760621</v>
      </c>
      <c r="L40" s="1180"/>
      <c r="M40" s="1181"/>
      <c r="N40" s="1181"/>
      <c r="O40" s="1186" t="s">
        <v>5</v>
      </c>
      <c r="P40" s="1187">
        <f t="shared" si="2"/>
        <v>0.57796997856350196</v>
      </c>
      <c r="Q40" s="1187">
        <f t="shared" si="3"/>
        <v>-1.9841904088194445E-2</v>
      </c>
      <c r="R40" s="4"/>
    </row>
    <row r="41" spans="1:18">
      <c r="A41" s="1137" t="s">
        <v>504</v>
      </c>
      <c r="B41" s="1137" t="s">
        <v>11</v>
      </c>
      <c r="C41" s="1138">
        <f>'WACC BIPT &amp; Cullen 2013'!J20</f>
        <v>0.6</v>
      </c>
      <c r="D41" s="1139">
        <f>'WACC BIPT &amp; Cullen 2013'!V20</f>
        <v>0.57867691310587477</v>
      </c>
      <c r="E41" s="1138">
        <f>'WACC BIPT &amp; Cullen 2013'!G20</f>
        <v>0.6</v>
      </c>
      <c r="F41" s="1138">
        <f>'WACC BIPT &amp; Cullen 2013'!D20</f>
        <v>0.5</v>
      </c>
      <c r="G41" s="1139">
        <f>'WACC BIPT &amp; Cullen 2013'!U20</f>
        <v>0.58346199418333278</v>
      </c>
      <c r="H41" s="1138">
        <f>'WACC BIPT &amp; Cullen 2013'!M20</f>
        <v>0.6</v>
      </c>
      <c r="I41" s="1139">
        <f>'WACC BIPT &amp; Cullen 2013'!X20</f>
        <v>0.6120051364716812</v>
      </c>
      <c r="J41" s="1138">
        <f>'WACC BIPT &amp; Cullen 2013'!P20</f>
        <v>0.6</v>
      </c>
      <c r="K41" s="1139">
        <f>'WACC BIPT &amp; Cullen 2013'!Y20</f>
        <v>0.60107647332040115</v>
      </c>
      <c r="L41" s="621"/>
      <c r="M41" s="620" t="s">
        <v>504</v>
      </c>
      <c r="O41" s="620" t="s">
        <v>11</v>
      </c>
      <c r="P41" s="564">
        <f t="shared" si="2"/>
        <v>2.1323086894125209E-2</v>
      </c>
      <c r="Q41" s="564">
        <f t="shared" si="3"/>
        <v>-1.0764733204011723E-3</v>
      </c>
      <c r="R41" s="4"/>
    </row>
    <row r="42" spans="1:18">
      <c r="A42" s="732" t="s">
        <v>419</v>
      </c>
      <c r="B42" s="732" t="s">
        <v>420</v>
      </c>
      <c r="C42" s="564">
        <f>'WACC BIPT &amp; Cullen 2013'!J22</f>
        <v>0.22151118186029947</v>
      </c>
      <c r="D42" s="569"/>
      <c r="E42" s="564">
        <f>'WACC BIPT &amp; Cullen 2013'!G22</f>
        <v>0.40001116314399598</v>
      </c>
      <c r="F42" s="564">
        <f>'WACC BIPT &amp; Cullen 2013'!D22</f>
        <v>0.17232685542191742</v>
      </c>
      <c r="G42" s="569"/>
      <c r="H42" s="564">
        <f>'WACC BIPT &amp; Cullen 2013'!M22</f>
        <v>0.22151118186029947</v>
      </c>
      <c r="I42" s="569"/>
      <c r="J42" s="564">
        <f>'WACC BIPT &amp; Cullen 2013'!P22</f>
        <v>0.22151118186029947</v>
      </c>
      <c r="K42" s="569"/>
      <c r="L42" s="621"/>
      <c r="M42" s="1185" t="s">
        <v>419</v>
      </c>
      <c r="N42" s="1016"/>
      <c r="O42" s="1185" t="s">
        <v>420</v>
      </c>
      <c r="P42" s="1146">
        <f t="shared" si="2"/>
        <v>0.22151118186029947</v>
      </c>
      <c r="Q42" s="1146">
        <f t="shared" si="3"/>
        <v>0.22151118186029947</v>
      </c>
      <c r="R42" s="4"/>
    </row>
    <row r="43" spans="1:18">
      <c r="A43" s="620" t="s">
        <v>12</v>
      </c>
      <c r="B43" s="620" t="s">
        <v>147</v>
      </c>
      <c r="C43" s="564">
        <f>'WACC BIPT &amp; Cullen 2013'!J23</f>
        <v>0.82417993745227336</v>
      </c>
      <c r="D43" s="569">
        <f>'WACC BIPT &amp; Cullen 2013'!V23</f>
        <v>0.83333333333333337</v>
      </c>
      <c r="E43" s="564">
        <f>'WACC BIPT &amp; Cullen 2013'!G23</f>
        <v>0.70561010496691856</v>
      </c>
      <c r="F43" s="564">
        <f>'WACC BIPT &amp; Cullen 2013'!D23</f>
        <v>0.64419802849066155</v>
      </c>
      <c r="G43" s="569">
        <f>'WACC BIPT &amp; Cullen 2013'!U23</f>
        <v>0.76470588235294124</v>
      </c>
      <c r="H43" s="564">
        <f>'WACC BIPT &amp; Cullen 2013'!M23</f>
        <v>0.6973593100145119</v>
      </c>
      <c r="I43" s="569">
        <f>'WACC BIPT &amp; Cullen 2013'!X23</f>
        <v>0.7466666666666667</v>
      </c>
      <c r="J43" s="564">
        <f>'WACC BIPT &amp; Cullen 2013'!P23</f>
        <v>0.69476707439290275</v>
      </c>
      <c r="K43" s="569">
        <f>'WACC BIPT &amp; Cullen 2013'!Y23</f>
        <v>0.73333333333333339</v>
      </c>
      <c r="L43" s="621"/>
      <c r="M43" s="620" t="s">
        <v>12</v>
      </c>
      <c r="O43" s="620" t="s">
        <v>147</v>
      </c>
      <c r="P43" s="1188">
        <f t="shared" si="2"/>
        <v>-9.1533958810600113E-3</v>
      </c>
      <c r="Q43" s="1188">
        <f t="shared" si="3"/>
        <v>-3.8566258940430642E-2</v>
      </c>
      <c r="R43" s="4"/>
    </row>
    <row r="44" spans="1:18">
      <c r="A44" s="620" t="s">
        <v>179</v>
      </c>
      <c r="B44" s="633" t="s">
        <v>371</v>
      </c>
      <c r="C44" s="564">
        <f>'WACC BIPT &amp; Cullen 2013'!J24</f>
        <v>0.8</v>
      </c>
      <c r="D44" s="582">
        <f>D43</f>
        <v>0.83333333333333337</v>
      </c>
      <c r="E44" s="564">
        <f>'WACC BIPT &amp; Cullen 2013'!G24</f>
        <v>0.8</v>
      </c>
      <c r="F44" s="564">
        <f>'WACC BIPT &amp; Cullen 2013'!D24</f>
        <v>0.8</v>
      </c>
      <c r="G44" s="583">
        <f>G43</f>
        <v>0.76470588235294124</v>
      </c>
      <c r="H44" s="564">
        <f>'WACC BIPT &amp; Cullen 2013'!M24</f>
        <v>0.8</v>
      </c>
      <c r="I44" s="583">
        <f>I43</f>
        <v>0.7466666666666667</v>
      </c>
      <c r="J44" s="564">
        <f>'WACC BIPT &amp; Cullen 2013'!P24</f>
        <v>0.8</v>
      </c>
      <c r="K44" s="582">
        <f>K43</f>
        <v>0.73333333333333339</v>
      </c>
      <c r="L44" s="621"/>
      <c r="M44" s="628" t="s">
        <v>179</v>
      </c>
      <c r="N44" s="1016"/>
      <c r="O44" s="1184" t="s">
        <v>371</v>
      </c>
      <c r="P44" s="1146">
        <f t="shared" si="2"/>
        <v>-3.3333333333333326E-2</v>
      </c>
      <c r="Q44" s="1146">
        <f t="shared" si="3"/>
        <v>6.6666666666666652E-2</v>
      </c>
      <c r="R44" s="4"/>
    </row>
    <row r="45" spans="1:18">
      <c r="A45" s="1169" t="s">
        <v>506</v>
      </c>
      <c r="B45" s="633"/>
      <c r="C45" s="564"/>
      <c r="D45" s="582"/>
      <c r="E45" s="564"/>
      <c r="F45" s="564"/>
      <c r="G45" s="583"/>
      <c r="H45" s="564"/>
      <c r="I45" s="583"/>
      <c r="J45" s="564"/>
      <c r="K45" s="582"/>
      <c r="L45" s="621"/>
      <c r="R45" s="4"/>
    </row>
    <row r="46" spans="1:18">
      <c r="A46" s="631" t="s">
        <v>366</v>
      </c>
      <c r="B46" s="631" t="s">
        <v>279</v>
      </c>
      <c r="C46" s="584">
        <f>'WACC BIPT &amp; Cullen 2013'!J17</f>
        <v>4.4450887803315027E-2</v>
      </c>
      <c r="D46" s="1140">
        <f>'WACC BIPT &amp; Cullen 2013'!V17</f>
        <v>5.7000000000000002E-2</v>
      </c>
      <c r="E46" s="563">
        <f>'WACC BIPT &amp; Cullen 2013'!G17</f>
        <v>9.2925189204588921E-2</v>
      </c>
      <c r="F46" s="563">
        <f>'WACC BIPT &amp; Cullen 2013'!D17</f>
        <v>4.0185066147264081E-2</v>
      </c>
      <c r="G46" s="1141">
        <f>'WACC BIPT &amp; Cullen 2013'!U17</f>
        <v>5.5E-2</v>
      </c>
      <c r="H46" s="563">
        <f>'WACC BIPT &amp; Cullen 2013'!M17</f>
        <v>4.4450887803315027E-2</v>
      </c>
      <c r="I46" s="1141">
        <f>'WACC BIPT &amp; Cullen 2013'!X17</f>
        <v>5.5E-2</v>
      </c>
      <c r="J46" s="584">
        <f>'WACC BIPT &amp; Cullen 2013'!P17</f>
        <v>4.4450887803315027E-2</v>
      </c>
      <c r="K46" s="1140">
        <f>'WACC BIPT &amp; Cullen 2013'!Y17</f>
        <v>5.5E-2</v>
      </c>
      <c r="L46" s="621"/>
      <c r="M46" s="631" t="s">
        <v>366</v>
      </c>
      <c r="N46" s="1170"/>
      <c r="O46" s="634" t="s">
        <v>279</v>
      </c>
      <c r="P46" s="563">
        <f>C46-D46</f>
        <v>-1.2549112196684975E-2</v>
      </c>
      <c r="Q46" s="563">
        <f>J46-K46</f>
        <v>-1.0549112196684973E-2</v>
      </c>
      <c r="R46" s="4"/>
    </row>
    <row r="47" spans="1:18">
      <c r="A47" s="620" t="s">
        <v>365</v>
      </c>
      <c r="B47" s="620" t="s">
        <v>372</v>
      </c>
      <c r="C47" s="585">
        <f>'WACC BIPT &amp; Cullen 2013'!J25</f>
        <v>7.5811743297675913E-2</v>
      </c>
      <c r="D47" s="586">
        <f>'WACC BIPT &amp; Cullen 2013'!V25</f>
        <v>8.3749999999999991E-2</v>
      </c>
      <c r="E47" s="562">
        <f>'WACC BIPT &amp; Cullen 2013'!G25</f>
        <v>6.9426189722071402E-2</v>
      </c>
      <c r="F47" s="562">
        <f>'WACC BIPT &amp; Cullen 2013'!D25</f>
        <v>6.6118855163960266E-2</v>
      </c>
      <c r="G47" s="571">
        <f>'WACC BIPT &amp; Cullen 2013'!U25</f>
        <v>8.0147058823529405E-2</v>
      </c>
      <c r="H47" s="562">
        <f>'WACC BIPT &amp; Cullen 2013'!M25</f>
        <v>6.8981844882363308E-2</v>
      </c>
      <c r="I47" s="571">
        <f>'WACC BIPT &amp; Cullen 2013'!X25</f>
        <v>7.9199999999999993E-2</v>
      </c>
      <c r="J47" s="585">
        <f>'WACC BIPT &amp; Cullen 2013'!P25</f>
        <v>6.8842240574122249E-2</v>
      </c>
      <c r="K47" s="586">
        <f>'WACC BIPT &amp; Cullen 2013'!Y25</f>
        <v>7.85E-2</v>
      </c>
      <c r="L47" s="621"/>
      <c r="M47" s="1189" t="s">
        <v>365</v>
      </c>
      <c r="N47" s="1178"/>
      <c r="O47" s="1190" t="s">
        <v>372</v>
      </c>
      <c r="P47" s="1191">
        <f>C47-D47</f>
        <v>-7.9382567023240785E-3</v>
      </c>
      <c r="Q47" s="1191">
        <f>J47-K47</f>
        <v>-9.6577594258777516E-3</v>
      </c>
      <c r="R47" s="4"/>
    </row>
    <row r="48" spans="1:18">
      <c r="A48" s="1137" t="s">
        <v>373</v>
      </c>
      <c r="B48" s="1137" t="s">
        <v>280</v>
      </c>
      <c r="C48" s="1142">
        <f>'WACC BIPT &amp; Cullen 2013'!J28</f>
        <v>8.1555337818754861E-2</v>
      </c>
      <c r="D48" s="1143">
        <f>'WACC BIPT &amp; Cullen 2013'!V28</f>
        <v>9.8924829571277073E-2</v>
      </c>
      <c r="E48" s="1144">
        <f>'WACC BIPT &amp; Cullen 2013'!G28</f>
        <v>9.9730784592595989E-2</v>
      </c>
      <c r="F48" s="1144">
        <f>'WACC BIPT &amp; Cullen 2013'!D28</f>
        <v>7.6172970707316712E-2</v>
      </c>
      <c r="G48" s="1145">
        <f>'WACC BIPT &amp; Cullen 2013'!U28</f>
        <v>0.10016324799272837</v>
      </c>
      <c r="H48" s="1144">
        <f>'WACC BIPT &amp; Cullen 2013'!M28</f>
        <v>8.7662972620182106E-2</v>
      </c>
      <c r="I48" s="1145">
        <f>'WACC BIPT &amp; Cullen 2013'!X28</f>
        <v>0.10373636570216634</v>
      </c>
      <c r="J48" s="1142">
        <f>'WACC BIPT &amp; Cullen 2013'!P28</f>
        <v>8.7834696185358122E-2</v>
      </c>
      <c r="K48" s="1143">
        <f>'WACC BIPT &amp; Cullen 2013'!Y28</f>
        <v>0.10294103166186941</v>
      </c>
      <c r="L48" s="621"/>
      <c r="M48" s="1137" t="s">
        <v>373</v>
      </c>
      <c r="O48" s="1192" t="s">
        <v>280</v>
      </c>
      <c r="P48" s="563">
        <f>C48-D48</f>
        <v>-1.7369491752522212E-2</v>
      </c>
      <c r="Q48" s="563">
        <f>J48-K48</f>
        <v>-1.5106335476511287E-2</v>
      </c>
      <c r="R48" s="4"/>
    </row>
    <row r="49" spans="1:31">
      <c r="A49" s="620" t="s">
        <v>507</v>
      </c>
      <c r="B49" s="620" t="s">
        <v>290</v>
      </c>
      <c r="C49" s="562">
        <f>'WACC BIPT &amp; Cullen 2013'!J36</f>
        <v>6.1839386151869872E-3</v>
      </c>
      <c r="D49" s="571">
        <f>'WACC BIPT &amp; Cullen 2013'!V36</f>
        <v>2.8030437721042411E-3</v>
      </c>
      <c r="E49" s="562">
        <f>'WACC BIPT &amp; Cullen 2013'!G36</f>
        <v>5.5561731563238881E-3</v>
      </c>
      <c r="F49" s="562">
        <f>'WACC BIPT &amp; Cullen 2013'!D36</f>
        <v>4.7885276553724524E-3</v>
      </c>
      <c r="G49" s="571">
        <f>'WACC BIPT &amp; Cullen 2013'!U36</f>
        <v>3.1767829417181392E-3</v>
      </c>
      <c r="H49" s="562">
        <f>'WACC BIPT &amp; Cullen 2013'!M36</f>
        <v>1.5201893592079753E-3</v>
      </c>
      <c r="I49" s="571">
        <f>'WACC BIPT &amp; Cullen 2013'!X36</f>
        <v>2.4493143213769031E-3</v>
      </c>
      <c r="J49" s="562">
        <f>'WACC BIPT &amp; Cullen 2013'!P36</f>
        <v>1.5316246544757473E-3</v>
      </c>
      <c r="K49" s="571">
        <f>'WACC BIPT &amp; Cullen 2013'!Y36</f>
        <v>2.4493143213769031E-3</v>
      </c>
      <c r="L49" s="621"/>
      <c r="M49" s="632" t="s">
        <v>507</v>
      </c>
      <c r="N49" s="635"/>
      <c r="O49" s="632" t="s">
        <v>290</v>
      </c>
      <c r="P49" s="1171">
        <f>C49-D49</f>
        <v>3.3808948430827462E-3</v>
      </c>
      <c r="Q49" s="1171">
        <f>J49-K49</f>
        <v>-9.1768966690115579E-4</v>
      </c>
      <c r="R49" s="4"/>
    </row>
    <row r="50" spans="1:31">
      <c r="A50" s="631" t="s">
        <v>380</v>
      </c>
      <c r="B50" s="631"/>
      <c r="C50" s="563"/>
      <c r="D50" s="570"/>
      <c r="E50" s="563"/>
      <c r="F50" s="563"/>
      <c r="G50" s="570"/>
      <c r="H50" s="563"/>
      <c r="I50" s="570"/>
      <c r="J50" s="563"/>
      <c r="K50" s="570"/>
      <c r="L50" s="621"/>
      <c r="M50" s="620"/>
      <c r="R50" s="4"/>
    </row>
    <row r="51" spans="1:31">
      <c r="A51" s="620" t="s">
        <v>373</v>
      </c>
      <c r="B51" s="620" t="s">
        <v>308</v>
      </c>
      <c r="C51" s="585">
        <f>'WACC BIPT &amp; Cullen 2013'!J38</f>
        <v>7.5371399203567876E-2</v>
      </c>
      <c r="D51" s="586">
        <f>'WACC BIPT &amp; Cullen 2013'!V38</f>
        <v>9.6121785799172826E-2</v>
      </c>
      <c r="E51" s="562">
        <f>'WACC BIPT &amp; Cullen 2013'!G38</f>
        <v>9.4174611436272107E-2</v>
      </c>
      <c r="F51" s="562">
        <f>'WACC BIPT &amp; Cullen 2013'!D38</f>
        <v>7.138444305194426E-2</v>
      </c>
      <c r="G51" s="571">
        <f>'WACC BIPT &amp; Cullen 2013'!U38</f>
        <v>9.6986465051010232E-2</v>
      </c>
      <c r="H51" s="562">
        <f>'WACC BIPT &amp; Cullen 2013'!M38</f>
        <v>8.6142783260974132E-2</v>
      </c>
      <c r="I51" s="571">
        <f>'WACC BIPT &amp; Cullen 2013'!X38</f>
        <v>0.10128705138078943</v>
      </c>
      <c r="J51" s="585">
        <f>'WACC BIPT &amp; Cullen 2013'!P38</f>
        <v>8.6303071530882375E-2</v>
      </c>
      <c r="K51" s="586">
        <f>'WACC BIPT &amp; Cullen 2013'!Y38</f>
        <v>0.1004917173404925</v>
      </c>
      <c r="L51" s="565"/>
      <c r="M51" s="732"/>
      <c r="N51" s="621"/>
      <c r="O51" s="1169"/>
      <c r="P51" s="585"/>
      <c r="Q51" s="585"/>
    </row>
    <row r="52" spans="1:31">
      <c r="A52" s="632" t="s">
        <v>421</v>
      </c>
      <c r="B52" s="635"/>
      <c r="C52" s="587">
        <f>C51-D51</f>
        <v>-2.075038659560495E-2</v>
      </c>
      <c r="D52" s="636"/>
      <c r="E52" s="635"/>
      <c r="F52" s="588">
        <f>F51-G51</f>
        <v>-2.5602021999065971E-2</v>
      </c>
      <c r="G52" s="636"/>
      <c r="H52" s="588">
        <f>H51-I51</f>
        <v>-1.5144268119815299E-2</v>
      </c>
      <c r="I52" s="636"/>
      <c r="J52" s="587">
        <f>J51-K51</f>
        <v>-1.4188645809610129E-2</v>
      </c>
      <c r="K52" s="636"/>
      <c r="L52" s="565"/>
      <c r="M52" s="620"/>
      <c r="N52" s="621"/>
      <c r="O52" s="620"/>
      <c r="P52" s="621"/>
      <c r="Q52" s="621"/>
    </row>
    <row r="53" spans="1:31">
      <c r="A53" s="620"/>
      <c r="B53" s="621"/>
      <c r="C53" s="1194"/>
      <c r="D53" s="626"/>
      <c r="E53" s="621"/>
      <c r="F53" s="1195"/>
      <c r="G53" s="626"/>
      <c r="H53" s="1195"/>
      <c r="I53" s="626"/>
      <c r="J53" s="1194"/>
      <c r="K53" s="626"/>
      <c r="L53" s="565"/>
      <c r="M53" s="620"/>
      <c r="N53" s="621"/>
      <c r="O53" s="620"/>
      <c r="P53" s="621"/>
      <c r="Q53" s="621"/>
    </row>
    <row r="54" spans="1:31">
      <c r="A54" s="1196" t="s">
        <v>510</v>
      </c>
      <c r="B54" s="620" t="s">
        <v>509</v>
      </c>
      <c r="C54" s="1197">
        <f t="shared" ref="C54:K54" si="5">(1-C34)/(1-C27)+C34</f>
        <v>1.2713983355445622</v>
      </c>
      <c r="D54" s="1197">
        <f t="shared" si="5"/>
        <v>1.3089531889107711</v>
      </c>
      <c r="E54" s="1197">
        <f t="shared" si="5"/>
        <v>1.2860677675099732</v>
      </c>
      <c r="F54" s="1197">
        <f t="shared" si="5"/>
        <v>1.3089531889107711</v>
      </c>
      <c r="G54" s="1197">
        <f t="shared" si="5"/>
        <v>1.3501469474322072</v>
      </c>
      <c r="H54" s="1197">
        <f t="shared" si="5"/>
        <v>1.3705311959153021</v>
      </c>
      <c r="I54" s="1197">
        <f t="shared" si="5"/>
        <v>1.3861914861384639</v>
      </c>
      <c r="J54" s="1197">
        <f t="shared" si="5"/>
        <v>1.3733184366005151</v>
      </c>
      <c r="K54" s="1197">
        <f t="shared" si="5"/>
        <v>1.3861914861384639</v>
      </c>
      <c r="L54" s="14"/>
      <c r="M54" s="621"/>
      <c r="N54" s="621"/>
      <c r="O54" s="621"/>
      <c r="P54" s="621"/>
      <c r="Q54" s="621"/>
    </row>
    <row r="55" spans="1:31">
      <c r="A55" s="1179" t="s">
        <v>508</v>
      </c>
      <c r="B55" s="1179" t="s">
        <v>511</v>
      </c>
      <c r="C55" s="1198">
        <f>C54*$P$29</f>
        <v>-1.7414145529332428E-2</v>
      </c>
      <c r="D55" s="1179"/>
      <c r="E55" s="1198">
        <f>E54*$P$29</f>
        <v>-1.7615070460517659E-2</v>
      </c>
      <c r="F55" s="1198">
        <f>F54*$P$29</f>
        <v>-1.7928528522898161E-2</v>
      </c>
      <c r="G55" s="1179"/>
      <c r="H55" s="1198">
        <f>H54*$P$29</f>
        <v>-1.8771952920590061E-2</v>
      </c>
      <c r="I55" s="1196"/>
      <c r="J55" s="1198">
        <f>J54*$P$29</f>
        <v>-1.8810129323343319E-2</v>
      </c>
      <c r="K55" s="1196"/>
      <c r="L55" s="1019"/>
      <c r="M55" s="621"/>
      <c r="N55" s="621"/>
      <c r="O55" s="732"/>
      <c r="P55" s="621"/>
      <c r="Q55" s="621"/>
      <c r="R55" s="1018"/>
      <c r="S55" s="1018"/>
      <c r="T55" s="1018"/>
      <c r="U55" s="1018"/>
      <c r="V55" s="1332"/>
      <c r="W55" s="1018"/>
      <c r="X55" s="1018"/>
      <c r="Y55" s="1018"/>
      <c r="Z55" s="1018"/>
      <c r="AA55" s="1018"/>
      <c r="AB55" s="1018"/>
      <c r="AC55" s="1018"/>
      <c r="AD55" s="1018"/>
      <c r="AE55" s="1018"/>
    </row>
    <row r="56" spans="1:31">
      <c r="A56" s="1179" t="s">
        <v>479</v>
      </c>
      <c r="B56" s="732" t="s">
        <v>480</v>
      </c>
      <c r="C56" s="1188">
        <f>(1-C27)*C34/(1-C34)*C42</f>
        <v>0.13120166439393241</v>
      </c>
      <c r="D56" s="1188"/>
      <c r="E56" s="1188">
        <f t="shared" ref="E56:J56" si="6">(1-E27)*E34/(1-E34)*E42</f>
        <v>0.21123789503308141</v>
      </c>
      <c r="F56" s="1188">
        <f t="shared" si="6"/>
        <v>7.5835304842671786E-2</v>
      </c>
      <c r="G56" s="1188"/>
      <c r="H56" s="1188">
        <f t="shared" si="6"/>
        <v>5.6979690793553972E-2</v>
      </c>
      <c r="I56" s="1188"/>
      <c r="J56" s="1188">
        <f t="shared" si="6"/>
        <v>5.546258077951105E-2</v>
      </c>
      <c r="K56" s="564"/>
      <c r="M56" s="621"/>
      <c r="N56" s="621"/>
      <c r="O56" s="575"/>
      <c r="P56" s="580"/>
      <c r="Q56" s="1193"/>
    </row>
    <row r="57" spans="1:31">
      <c r="A57" s="620"/>
      <c r="M57" s="621"/>
      <c r="N57" s="621"/>
      <c r="O57" s="1169"/>
      <c r="P57" s="744"/>
      <c r="Q57" s="744"/>
    </row>
    <row r="58" spans="1:31">
      <c r="A58" s="620"/>
      <c r="B58" s="633"/>
      <c r="C58" s="564"/>
      <c r="D58" s="582"/>
      <c r="E58" s="564"/>
      <c r="F58" s="564"/>
      <c r="G58" s="583"/>
      <c r="H58" s="564"/>
      <c r="I58" s="583"/>
      <c r="J58" s="564"/>
      <c r="K58" s="582"/>
    </row>
    <row r="59" spans="1:31">
      <c r="A59" s="620"/>
      <c r="B59" s="633"/>
      <c r="C59" s="564"/>
      <c r="D59" s="582"/>
      <c r="E59" s="564"/>
      <c r="F59" s="564"/>
      <c r="G59" s="583"/>
      <c r="H59" s="564"/>
      <c r="I59" s="583"/>
      <c r="J59" s="564"/>
      <c r="K59" s="582"/>
    </row>
    <row r="60" spans="1:31">
      <c r="A60" s="1020" t="s">
        <v>381</v>
      </c>
      <c r="B60" s="1020"/>
      <c r="C60" s="1017" t="s">
        <v>388</v>
      </c>
      <c r="D60" s="1018"/>
      <c r="E60" s="1018"/>
      <c r="G60" s="1018"/>
      <c r="H60" s="1019"/>
      <c r="I60" s="1019"/>
      <c r="J60" s="1019"/>
      <c r="K60" s="1019"/>
      <c r="L60" s="1019"/>
      <c r="M60" s="1018"/>
      <c r="N60" s="1018"/>
      <c r="O60" s="1018"/>
      <c r="P60" s="1018"/>
      <c r="Q60" s="1018"/>
      <c r="R60" s="1018"/>
      <c r="S60" s="1018"/>
      <c r="T60" s="1018"/>
      <c r="U60" s="1018"/>
      <c r="V60" s="1332"/>
      <c r="W60" s="1018"/>
      <c r="X60" s="1018"/>
      <c r="Y60" s="1018"/>
      <c r="Z60" s="1018"/>
      <c r="AA60" s="1018"/>
      <c r="AB60" s="1018"/>
      <c r="AC60" s="1018"/>
      <c r="AD60" s="1018"/>
      <c r="AE60" s="1018"/>
    </row>
    <row r="61" spans="1:31">
      <c r="A61" s="1018"/>
      <c r="B61" s="1018"/>
      <c r="C61" s="1018"/>
      <c r="D61" s="1018"/>
      <c r="E61" s="1018"/>
      <c r="F61" s="1018"/>
      <c r="G61" s="1018"/>
      <c r="H61" s="1019"/>
      <c r="I61" s="1019"/>
      <c r="J61" s="1019"/>
      <c r="K61" s="1019"/>
      <c r="L61" s="1019"/>
      <c r="M61" s="1018"/>
      <c r="N61" s="1018"/>
      <c r="O61" s="1018"/>
      <c r="P61" s="1018"/>
      <c r="Q61" s="1018"/>
      <c r="R61" s="1018"/>
      <c r="S61" s="1018"/>
      <c r="T61" s="1018"/>
      <c r="U61" s="1018"/>
      <c r="V61" s="1332"/>
      <c r="W61" s="1018"/>
      <c r="X61" s="1018"/>
      <c r="Y61" s="1018"/>
      <c r="Z61" s="1018"/>
      <c r="AA61" s="1018"/>
      <c r="AB61" s="1018"/>
      <c r="AC61" s="1018"/>
      <c r="AD61" s="1018"/>
      <c r="AE61" s="1018"/>
    </row>
    <row r="62" spans="1:31">
      <c r="A62" s="1021" t="s">
        <v>19</v>
      </c>
      <c r="B62" s="1021"/>
      <c r="E62" s="1022" t="s">
        <v>382</v>
      </c>
      <c r="F62" s="1018"/>
      <c r="G62" s="1018"/>
      <c r="H62" s="1019"/>
      <c r="I62" s="1019"/>
      <c r="J62" s="1019"/>
      <c r="K62" s="1019"/>
      <c r="L62" s="1019"/>
      <c r="M62" s="1018"/>
      <c r="O62" s="1022" t="s">
        <v>383</v>
      </c>
      <c r="P62" s="1018"/>
      <c r="Q62" s="1018"/>
      <c r="R62" s="1018"/>
      <c r="S62" s="1018"/>
      <c r="T62" s="1018"/>
      <c r="U62" s="1018"/>
      <c r="V62" s="1332"/>
      <c r="W62" s="1018"/>
      <c r="X62" s="1018"/>
      <c r="Y62" s="1018"/>
      <c r="Z62" s="1018"/>
      <c r="AA62" s="1018"/>
      <c r="AB62" s="1018"/>
      <c r="AC62" s="1018"/>
      <c r="AD62" s="1018"/>
      <c r="AE62" s="1018"/>
    </row>
    <row r="63" spans="1:31">
      <c r="A63" s="1018"/>
      <c r="B63" s="1018"/>
      <c r="C63" s="1018"/>
      <c r="D63" s="1018"/>
      <c r="E63" s="1018"/>
      <c r="F63" s="1018"/>
      <c r="G63" s="1018"/>
      <c r="H63" s="1018"/>
      <c r="I63" s="1018"/>
      <c r="J63" s="1018"/>
      <c r="K63" s="1018"/>
      <c r="L63" s="1018"/>
      <c r="M63" s="1018"/>
      <c r="N63" s="1018"/>
      <c r="O63" s="1018"/>
      <c r="P63" s="1018"/>
      <c r="Q63" s="1018"/>
      <c r="R63" s="1018"/>
      <c r="S63" s="1018"/>
      <c r="T63" s="1018"/>
      <c r="U63" s="1018"/>
      <c r="V63" s="1332"/>
      <c r="W63" s="1018"/>
      <c r="X63" s="1018"/>
      <c r="Y63" s="1018"/>
      <c r="Z63" s="1018"/>
      <c r="AA63" s="1018"/>
      <c r="AB63" s="1018"/>
      <c r="AC63" s="1018"/>
      <c r="AD63" s="1018"/>
      <c r="AE63" s="1018"/>
    </row>
    <row r="64" spans="1:31">
      <c r="A64" s="1018"/>
      <c r="B64" s="1018"/>
      <c r="C64" s="1018"/>
      <c r="D64" s="1018"/>
      <c r="E64" s="1018"/>
      <c r="F64" s="1018"/>
      <c r="G64" s="1018"/>
      <c r="H64" s="1018"/>
      <c r="I64" s="1018"/>
      <c r="J64" s="1018"/>
      <c r="K64" s="1018"/>
      <c r="L64" s="1018"/>
      <c r="M64" s="1018"/>
      <c r="N64" s="1018"/>
      <c r="O64" s="1018"/>
      <c r="P64" s="1018"/>
      <c r="Q64" s="1018"/>
      <c r="R64" s="1018"/>
      <c r="S64" s="1018"/>
      <c r="T64" s="1018"/>
      <c r="U64" s="1018"/>
      <c r="V64" s="1332"/>
      <c r="W64" s="1018"/>
      <c r="X64" s="1018"/>
      <c r="Y64" s="1018"/>
      <c r="Z64" s="1018"/>
      <c r="AA64" s="1018"/>
      <c r="AB64" s="1018"/>
      <c r="AC64" s="1018"/>
      <c r="AD64" s="1018"/>
      <c r="AE64" s="1018"/>
    </row>
    <row r="65" spans="1:31">
      <c r="A65" s="1018"/>
      <c r="B65" s="1018"/>
      <c r="C65" s="1018"/>
      <c r="D65" s="1018"/>
      <c r="E65" s="1018"/>
      <c r="F65" s="1018"/>
      <c r="G65" s="1018"/>
      <c r="H65" s="1018"/>
      <c r="I65" s="1018"/>
      <c r="J65" s="1018"/>
      <c r="K65" s="1018"/>
      <c r="L65" s="1018"/>
      <c r="M65" s="1018"/>
      <c r="N65" s="1018"/>
      <c r="O65" s="1018"/>
      <c r="P65" s="1018"/>
      <c r="Q65" s="1018"/>
      <c r="R65" s="1018"/>
      <c r="S65" s="1018"/>
      <c r="T65" s="1018"/>
      <c r="U65" s="1018"/>
      <c r="V65" s="1332"/>
      <c r="W65" s="1018"/>
      <c r="X65" s="1018"/>
      <c r="Y65" s="1018"/>
      <c r="Z65" s="1018"/>
      <c r="AA65" s="1018"/>
      <c r="AB65" s="1018"/>
      <c r="AC65" s="1018"/>
      <c r="AD65" s="1018"/>
      <c r="AE65" s="1018"/>
    </row>
    <row r="66" spans="1:31">
      <c r="A66" s="1018"/>
      <c r="B66" s="1018"/>
      <c r="C66" s="1018"/>
      <c r="D66" s="1018"/>
      <c r="E66" s="1018"/>
      <c r="F66" s="1018"/>
      <c r="G66" s="1018"/>
      <c r="H66" s="1018"/>
      <c r="I66" s="1018"/>
      <c r="J66" s="1018"/>
      <c r="K66" s="1018"/>
      <c r="L66" s="1018"/>
      <c r="M66" s="1018"/>
      <c r="N66" s="1018"/>
      <c r="O66" s="1018"/>
      <c r="P66" s="1018"/>
      <c r="Q66" s="1018"/>
      <c r="R66" s="1018"/>
      <c r="S66" s="1018"/>
      <c r="T66" s="1018"/>
      <c r="U66" s="1018"/>
      <c r="V66" s="1332"/>
      <c r="W66" s="1018"/>
      <c r="X66" s="1018"/>
      <c r="Y66" s="1018"/>
      <c r="Z66" s="1018"/>
      <c r="AA66" s="1018"/>
      <c r="AB66" s="1018"/>
      <c r="AC66" s="1018"/>
      <c r="AD66" s="1018"/>
      <c r="AE66" s="1018"/>
    </row>
    <row r="67" spans="1:31">
      <c r="A67" s="1018"/>
      <c r="B67" s="1018"/>
      <c r="C67" s="1018"/>
      <c r="D67" s="1018"/>
      <c r="E67" s="1018"/>
      <c r="F67" s="1018"/>
      <c r="G67" s="1018"/>
      <c r="H67" s="1018"/>
      <c r="I67" s="1018"/>
      <c r="J67" s="1018"/>
      <c r="K67" s="1018"/>
      <c r="L67" s="1018"/>
      <c r="M67" s="1018"/>
      <c r="N67" s="1018"/>
      <c r="O67" s="1018"/>
      <c r="P67" s="1018"/>
      <c r="Q67" s="1018"/>
      <c r="R67" s="1018"/>
      <c r="S67" s="1018"/>
      <c r="T67" s="1018"/>
      <c r="U67" s="1018"/>
      <c r="V67" s="1332"/>
      <c r="W67" s="1018"/>
      <c r="X67" s="1018"/>
      <c r="Y67" s="1018"/>
      <c r="Z67" s="1018"/>
      <c r="AA67" s="1018"/>
      <c r="AB67" s="1018"/>
      <c r="AC67" s="1018"/>
      <c r="AD67" s="1018"/>
      <c r="AE67" s="1018"/>
    </row>
    <row r="68" spans="1:31">
      <c r="A68" s="1018"/>
      <c r="B68" s="1018"/>
      <c r="C68" s="1018"/>
      <c r="D68" s="1018"/>
      <c r="E68" s="1018"/>
      <c r="F68" s="1018"/>
      <c r="G68" s="1018"/>
      <c r="H68" s="1018"/>
      <c r="I68" s="1018"/>
      <c r="J68" s="1018"/>
      <c r="K68" s="1018"/>
      <c r="L68" s="1018"/>
      <c r="M68" s="1018"/>
      <c r="N68" s="1018"/>
      <c r="O68" s="1018"/>
      <c r="P68" s="1018"/>
      <c r="Q68" s="1018"/>
      <c r="R68" s="1018"/>
      <c r="S68" s="1018"/>
      <c r="T68" s="1018"/>
      <c r="U68" s="1018"/>
      <c r="V68" s="1332"/>
      <c r="W68" s="1018"/>
      <c r="X68" s="1018"/>
      <c r="Y68" s="1018"/>
      <c r="Z68" s="1018"/>
      <c r="AA68" s="1018"/>
      <c r="AB68" s="1018"/>
      <c r="AC68" s="1018"/>
      <c r="AD68" s="1018"/>
      <c r="AE68" s="1018"/>
    </row>
    <row r="69" spans="1:31">
      <c r="A69" s="1018"/>
      <c r="B69" s="1018"/>
      <c r="C69" s="1018"/>
      <c r="D69" s="1018"/>
      <c r="E69" s="1018"/>
      <c r="F69" s="1018"/>
      <c r="G69" s="1018"/>
      <c r="H69" s="1018"/>
      <c r="I69" s="1018"/>
      <c r="J69" s="1018"/>
      <c r="K69" s="1018"/>
      <c r="L69" s="1018"/>
      <c r="M69" s="1018"/>
      <c r="N69" s="1018"/>
      <c r="O69" s="1018"/>
      <c r="P69" s="1018"/>
      <c r="Q69" s="1018"/>
      <c r="R69" s="1018"/>
      <c r="S69" s="1018"/>
      <c r="T69" s="1018"/>
      <c r="U69" s="1018"/>
      <c r="V69" s="1332"/>
      <c r="W69" s="1018"/>
      <c r="X69" s="1018"/>
      <c r="Y69" s="1018"/>
      <c r="Z69" s="1018"/>
      <c r="AA69" s="1018"/>
      <c r="AB69" s="1018"/>
      <c r="AC69" s="1018"/>
      <c r="AD69" s="1018"/>
      <c r="AE69" s="1018"/>
    </row>
    <row r="70" spans="1:31">
      <c r="A70" s="1018"/>
      <c r="B70" s="1018"/>
      <c r="C70" s="1018"/>
      <c r="D70" s="1018"/>
      <c r="E70" s="1018"/>
      <c r="F70" s="1018"/>
      <c r="G70" s="1018"/>
      <c r="H70" s="1018"/>
      <c r="I70" s="1018"/>
      <c r="J70" s="1018"/>
      <c r="K70" s="1018"/>
      <c r="L70" s="1018"/>
      <c r="M70" s="1018"/>
      <c r="N70" s="1018"/>
      <c r="O70" s="1018"/>
      <c r="P70" s="1018"/>
      <c r="Q70" s="1018"/>
      <c r="R70" s="1018"/>
      <c r="S70" s="1018"/>
      <c r="T70" s="1018"/>
      <c r="U70" s="1018"/>
      <c r="V70" s="1332"/>
      <c r="W70" s="1018"/>
      <c r="X70" s="1018"/>
      <c r="Y70" s="1018"/>
      <c r="Z70" s="1018"/>
      <c r="AA70" s="1018"/>
      <c r="AB70" s="1018"/>
      <c r="AC70" s="1018"/>
      <c r="AD70" s="1018"/>
      <c r="AE70" s="1018"/>
    </row>
    <row r="71" spans="1:31">
      <c r="A71" s="1018"/>
      <c r="B71" s="1018"/>
      <c r="C71" s="1018"/>
      <c r="D71" s="1018"/>
      <c r="E71" s="1018"/>
      <c r="F71" s="1018"/>
      <c r="G71" s="1018"/>
      <c r="H71" s="1018"/>
      <c r="I71" s="1018"/>
      <c r="J71" s="1018"/>
      <c r="K71" s="1018"/>
      <c r="L71" s="1018"/>
      <c r="M71" s="1018"/>
      <c r="N71" s="1018"/>
      <c r="O71" s="1018"/>
      <c r="P71" s="1018"/>
      <c r="Q71" s="1018"/>
      <c r="R71" s="1018"/>
      <c r="S71" s="1018"/>
      <c r="T71" s="1018"/>
      <c r="U71" s="1018"/>
      <c r="V71" s="1332"/>
      <c r="W71" s="1018"/>
      <c r="X71" s="1018"/>
      <c r="Y71" s="1018"/>
      <c r="Z71" s="1018"/>
      <c r="AA71" s="1018"/>
      <c r="AB71" s="1018"/>
      <c r="AC71" s="1018"/>
      <c r="AD71" s="1018"/>
      <c r="AE71" s="1018"/>
    </row>
    <row r="72" spans="1:31">
      <c r="A72" s="1018"/>
      <c r="B72" s="1018"/>
      <c r="C72" s="1018"/>
      <c r="D72" s="1018"/>
      <c r="E72" s="1018"/>
      <c r="F72" s="1018"/>
      <c r="G72" s="1018"/>
      <c r="H72" s="1018"/>
      <c r="I72" s="1018"/>
      <c r="J72" s="1018"/>
      <c r="K72" s="1018"/>
      <c r="L72" s="1018"/>
      <c r="M72" s="1018"/>
      <c r="N72" s="1018"/>
      <c r="O72" s="1018"/>
      <c r="P72" s="1018"/>
      <c r="Q72" s="1018"/>
      <c r="R72" s="1018"/>
      <c r="S72" s="1018"/>
      <c r="T72" s="1018"/>
      <c r="U72" s="1018"/>
      <c r="V72" s="1332"/>
      <c r="W72" s="1018"/>
      <c r="X72" s="1018"/>
      <c r="Y72" s="1018"/>
      <c r="Z72" s="1018"/>
      <c r="AA72" s="1018"/>
      <c r="AB72" s="1018"/>
      <c r="AC72" s="1018"/>
      <c r="AD72" s="1018"/>
      <c r="AE72" s="1018"/>
    </row>
    <row r="73" spans="1:31">
      <c r="A73" s="1018"/>
      <c r="B73" s="1018"/>
      <c r="C73" s="1018"/>
      <c r="D73" s="1018"/>
      <c r="E73" s="1018"/>
      <c r="F73" s="1018"/>
      <c r="G73" s="1018"/>
      <c r="H73" s="1018"/>
      <c r="I73" s="1018"/>
      <c r="J73" s="1018"/>
      <c r="K73" s="1018"/>
      <c r="L73" s="1018"/>
      <c r="M73" s="1018"/>
      <c r="N73" s="1018"/>
      <c r="O73" s="1018"/>
      <c r="P73" s="1018"/>
      <c r="Q73" s="1018"/>
      <c r="R73" s="1018"/>
      <c r="S73" s="1018"/>
      <c r="T73" s="1018"/>
      <c r="U73" s="1018"/>
      <c r="V73" s="1332"/>
      <c r="W73" s="1018"/>
      <c r="X73" s="1018"/>
      <c r="Y73" s="1018"/>
      <c r="Z73" s="1018"/>
      <c r="AA73" s="1018"/>
      <c r="AB73" s="1018"/>
      <c r="AC73" s="1018"/>
      <c r="AD73" s="1018"/>
      <c r="AE73" s="1018"/>
    </row>
    <row r="74" spans="1:31">
      <c r="A74" s="1018"/>
      <c r="B74" s="1018"/>
      <c r="C74" s="1018"/>
      <c r="D74" s="1018"/>
      <c r="E74" s="1018"/>
      <c r="F74" s="1018"/>
      <c r="G74" s="1018"/>
      <c r="H74" s="1018"/>
      <c r="I74" s="1018"/>
      <c r="J74" s="1018"/>
      <c r="K74" s="1018"/>
      <c r="L74" s="1018"/>
      <c r="M74" s="1018"/>
      <c r="N74" s="1018"/>
      <c r="O74" s="1018"/>
      <c r="P74" s="1018"/>
      <c r="Q74" s="1018"/>
      <c r="R74" s="1018"/>
      <c r="S74" s="1018"/>
      <c r="T74" s="1018"/>
      <c r="U74" s="1018"/>
      <c r="V74" s="1332"/>
      <c r="W74" s="1018"/>
      <c r="X74" s="1018"/>
      <c r="Y74" s="1018"/>
      <c r="Z74" s="1018"/>
      <c r="AA74" s="1018"/>
      <c r="AB74" s="1018"/>
      <c r="AC74" s="1018"/>
      <c r="AD74" s="1018"/>
      <c r="AE74" s="1018"/>
    </row>
    <row r="75" spans="1:31">
      <c r="A75" s="1018"/>
      <c r="B75" s="1018"/>
      <c r="C75" s="1018"/>
      <c r="D75" s="1018"/>
      <c r="E75" s="1018"/>
      <c r="F75" s="1018"/>
      <c r="G75" s="1018"/>
      <c r="H75" s="1018"/>
      <c r="I75" s="1018"/>
      <c r="J75" s="1018"/>
      <c r="K75" s="1018"/>
      <c r="L75" s="1018"/>
      <c r="M75" s="1018"/>
      <c r="N75" s="1018"/>
      <c r="O75" s="1018"/>
      <c r="P75" s="1018"/>
      <c r="Q75" s="1018"/>
      <c r="R75" s="1018"/>
      <c r="S75" s="1018"/>
      <c r="T75" s="1018"/>
      <c r="U75" s="1018"/>
      <c r="V75" s="1332"/>
      <c r="W75" s="1018"/>
      <c r="X75" s="1018"/>
      <c r="Y75" s="1018"/>
      <c r="Z75" s="1018"/>
      <c r="AA75" s="1018"/>
      <c r="AB75" s="1018"/>
      <c r="AC75" s="1018"/>
      <c r="AD75" s="1018"/>
      <c r="AE75" s="1018"/>
    </row>
    <row r="76" spans="1:31">
      <c r="A76" s="1018"/>
      <c r="B76" s="1018"/>
      <c r="C76" s="1018"/>
      <c r="D76" s="1018"/>
      <c r="E76" s="1018"/>
      <c r="F76" s="1018"/>
      <c r="G76" s="1018"/>
      <c r="H76" s="1018"/>
      <c r="I76" s="1018"/>
      <c r="J76" s="1018"/>
      <c r="K76" s="1018"/>
      <c r="L76" s="1018"/>
      <c r="M76" s="1018"/>
      <c r="N76" s="1018"/>
      <c r="O76" s="1018"/>
      <c r="P76" s="1018"/>
      <c r="Q76" s="1018"/>
      <c r="R76" s="1018"/>
      <c r="S76" s="1018"/>
      <c r="T76" s="1018"/>
      <c r="U76" s="1018"/>
      <c r="V76" s="1332"/>
      <c r="W76" s="1018"/>
      <c r="X76" s="1018"/>
      <c r="Y76" s="1018"/>
      <c r="Z76" s="1018"/>
      <c r="AA76" s="1018"/>
      <c r="AB76" s="1018"/>
      <c r="AC76" s="1018"/>
      <c r="AD76" s="1018"/>
      <c r="AE76" s="1018"/>
    </row>
    <row r="77" spans="1:31">
      <c r="A77" s="1018"/>
      <c r="B77" s="1018"/>
      <c r="C77" s="1018"/>
      <c r="D77" s="1018"/>
      <c r="E77" s="1018"/>
      <c r="F77" s="1018"/>
      <c r="G77" s="1018"/>
      <c r="H77" s="1018"/>
      <c r="I77" s="1018"/>
      <c r="J77" s="1018"/>
      <c r="K77" s="1018"/>
      <c r="L77" s="1018"/>
      <c r="M77" s="1018"/>
      <c r="N77" s="1018"/>
      <c r="O77" s="1018"/>
      <c r="P77" s="1018"/>
      <c r="Q77" s="1018"/>
      <c r="R77" s="1018"/>
      <c r="S77" s="1018"/>
      <c r="T77" s="1018"/>
      <c r="U77" s="1018"/>
      <c r="V77" s="1332"/>
      <c r="W77" s="1018"/>
      <c r="X77" s="1018"/>
      <c r="Y77" s="1018"/>
      <c r="Z77" s="1018"/>
      <c r="AA77" s="1018"/>
      <c r="AB77" s="1018"/>
      <c r="AC77" s="1018"/>
      <c r="AD77" s="1018"/>
      <c r="AE77" s="1018"/>
    </row>
    <row r="78" spans="1:31">
      <c r="A78" s="1018"/>
      <c r="B78" s="1018"/>
      <c r="C78" s="1018"/>
      <c r="D78" s="1018"/>
      <c r="E78" s="1018"/>
      <c r="F78" s="1018"/>
      <c r="G78" s="1018"/>
      <c r="H78" s="1018"/>
      <c r="I78" s="1018"/>
      <c r="J78" s="1018"/>
      <c r="K78" s="1018"/>
      <c r="L78" s="1018"/>
      <c r="M78" s="1018"/>
      <c r="N78" s="1018"/>
      <c r="O78" s="1018"/>
      <c r="P78" s="1018"/>
      <c r="Q78" s="1018"/>
      <c r="R78" s="1018"/>
      <c r="S78" s="1018"/>
      <c r="T78" s="1018"/>
      <c r="U78" s="1018"/>
      <c r="V78" s="1332"/>
      <c r="W78" s="1018"/>
      <c r="X78" s="1018"/>
      <c r="Y78" s="1018"/>
      <c r="Z78" s="1018"/>
      <c r="AA78" s="1018"/>
      <c r="AB78" s="1018"/>
      <c r="AC78" s="1018"/>
      <c r="AD78" s="1018"/>
      <c r="AE78" s="1018"/>
    </row>
    <row r="79" spans="1:31">
      <c r="A79" s="1018"/>
      <c r="B79" s="1018"/>
      <c r="C79" s="1018"/>
      <c r="D79" s="1018"/>
      <c r="E79" s="1018"/>
      <c r="F79" s="1018"/>
      <c r="G79" s="1018"/>
      <c r="H79" s="1018"/>
      <c r="I79" s="1018"/>
      <c r="J79" s="1018"/>
      <c r="K79" s="1018"/>
      <c r="L79" s="1018"/>
      <c r="M79" s="1018"/>
      <c r="N79" s="1018"/>
      <c r="O79" s="1018"/>
      <c r="P79" s="1018"/>
      <c r="Q79" s="1018"/>
      <c r="R79" s="1018"/>
      <c r="S79" s="1018"/>
      <c r="T79" s="1018"/>
      <c r="U79" s="1018"/>
      <c r="V79" s="1332"/>
      <c r="W79" s="1018"/>
      <c r="X79" s="1018"/>
      <c r="Y79" s="1018"/>
      <c r="Z79" s="1018"/>
      <c r="AA79" s="1018"/>
      <c r="AB79" s="1018"/>
      <c r="AC79" s="1018"/>
      <c r="AD79" s="1018"/>
      <c r="AE79" s="1018"/>
    </row>
    <row r="80" spans="1:31">
      <c r="A80" s="1018"/>
      <c r="B80" s="1018"/>
      <c r="C80" s="1018"/>
      <c r="D80" s="1018"/>
      <c r="E80" s="1018"/>
      <c r="F80" s="1018"/>
      <c r="G80" s="1018"/>
      <c r="H80" s="1018"/>
      <c r="I80" s="1018"/>
      <c r="J80" s="1018"/>
      <c r="K80" s="1018"/>
      <c r="L80" s="1018"/>
      <c r="M80" s="1018"/>
      <c r="N80" s="1018"/>
      <c r="O80" s="1018"/>
      <c r="P80" s="1018"/>
      <c r="Q80" s="1018"/>
      <c r="R80" s="1018"/>
      <c r="S80" s="1018"/>
      <c r="T80" s="1018"/>
      <c r="U80" s="1018"/>
      <c r="V80" s="1332"/>
      <c r="W80" s="1018"/>
      <c r="X80" s="1018"/>
      <c r="Y80" s="1018"/>
      <c r="Z80" s="1018"/>
      <c r="AA80" s="1018"/>
      <c r="AB80" s="1018"/>
      <c r="AC80" s="1018"/>
      <c r="AD80" s="1018"/>
      <c r="AE80" s="1018"/>
    </row>
    <row r="81" spans="1:31">
      <c r="A81" s="1018"/>
      <c r="B81" s="1018"/>
      <c r="C81" s="1018"/>
      <c r="D81" s="1018"/>
      <c r="E81" s="1018"/>
      <c r="F81" s="1018"/>
      <c r="G81" s="1018"/>
      <c r="H81" s="1018"/>
      <c r="I81" s="1018"/>
      <c r="J81" s="1018"/>
      <c r="K81" s="1018"/>
      <c r="L81" s="1018"/>
      <c r="M81" s="1018"/>
      <c r="N81" s="1018"/>
      <c r="O81" s="1018"/>
      <c r="P81" s="1018"/>
      <c r="Q81" s="1018"/>
      <c r="R81" s="1018"/>
      <c r="S81" s="1018"/>
      <c r="T81" s="1018"/>
      <c r="U81" s="1018"/>
      <c r="V81" s="1332"/>
      <c r="W81" s="1018"/>
      <c r="X81" s="1018"/>
      <c r="Y81" s="1018"/>
      <c r="Z81" s="1018"/>
      <c r="AA81" s="1018"/>
      <c r="AB81" s="1018"/>
      <c r="AC81" s="1018"/>
      <c r="AD81" s="1018"/>
      <c r="AE81" s="1018"/>
    </row>
    <row r="82" spans="1:31">
      <c r="A82" s="1018"/>
      <c r="B82" s="1018"/>
      <c r="C82" s="1018"/>
      <c r="D82" s="1018"/>
      <c r="E82" s="1018"/>
      <c r="F82" s="1018"/>
      <c r="G82" s="1018"/>
      <c r="H82" s="1018"/>
      <c r="I82" s="1018"/>
      <c r="J82" s="1018"/>
      <c r="K82" s="1018"/>
      <c r="L82" s="1018"/>
      <c r="M82" s="1018"/>
      <c r="N82" s="1018"/>
      <c r="O82" s="1018"/>
      <c r="P82" s="1018"/>
      <c r="Q82" s="1018"/>
      <c r="R82" s="1018"/>
      <c r="S82" s="1018"/>
      <c r="T82" s="1018"/>
      <c r="U82" s="1018"/>
      <c r="V82" s="1332"/>
      <c r="W82" s="1018"/>
      <c r="X82" s="1018"/>
      <c r="Y82" s="1018"/>
      <c r="Z82" s="1018"/>
      <c r="AA82" s="1018"/>
      <c r="AB82" s="1018"/>
      <c r="AC82" s="1018"/>
      <c r="AD82" s="1018"/>
      <c r="AE82" s="1018"/>
    </row>
    <row r="83" spans="1:31">
      <c r="A83" s="1018"/>
      <c r="B83" s="1018"/>
      <c r="C83" s="1018"/>
      <c r="D83" s="1018"/>
      <c r="E83" s="1018"/>
      <c r="F83" s="1018"/>
      <c r="G83" s="1018"/>
      <c r="H83" s="1018"/>
      <c r="I83" s="1018"/>
      <c r="J83" s="1018"/>
      <c r="K83" s="1018"/>
      <c r="L83" s="1018"/>
      <c r="M83" s="1018"/>
      <c r="N83" s="1018"/>
      <c r="O83" s="1018"/>
      <c r="P83" s="1018"/>
      <c r="Q83" s="1018"/>
      <c r="R83" s="1018"/>
      <c r="S83" s="1018"/>
      <c r="T83" s="1018"/>
      <c r="U83" s="1018"/>
      <c r="V83" s="1332"/>
      <c r="W83" s="1018"/>
      <c r="X83" s="1018"/>
      <c r="Y83" s="1018"/>
      <c r="Z83" s="1018"/>
      <c r="AA83" s="1018"/>
      <c r="AB83" s="1018"/>
      <c r="AC83" s="1018"/>
      <c r="AD83" s="1018"/>
      <c r="AE83" s="1018"/>
    </row>
    <row r="84" spans="1:31">
      <c r="A84" s="1018"/>
      <c r="B84" s="1018"/>
      <c r="C84" s="1018"/>
      <c r="D84" s="1018"/>
      <c r="E84" s="1018"/>
      <c r="F84" s="1018"/>
      <c r="G84" s="1018"/>
      <c r="H84" s="1018"/>
      <c r="I84" s="1018"/>
      <c r="J84" s="1018"/>
      <c r="K84" s="1018"/>
      <c r="L84" s="1018"/>
      <c r="M84" s="1018"/>
      <c r="N84" s="1018"/>
      <c r="O84" s="1018"/>
      <c r="P84" s="1018"/>
      <c r="Q84" s="1018"/>
      <c r="R84" s="1018"/>
      <c r="S84" s="1018"/>
      <c r="T84" s="1018"/>
      <c r="U84" s="1018"/>
      <c r="V84" s="1332"/>
      <c r="W84" s="1018"/>
      <c r="X84" s="1018"/>
      <c r="Y84" s="1018"/>
      <c r="Z84" s="1018"/>
      <c r="AA84" s="1018"/>
      <c r="AB84" s="1018"/>
      <c r="AC84" s="1018"/>
      <c r="AD84" s="1018"/>
      <c r="AE84" s="1018"/>
    </row>
    <row r="85" spans="1:31">
      <c r="A85" s="1018"/>
      <c r="B85" s="1018"/>
      <c r="C85" s="1018"/>
      <c r="D85" s="1018"/>
      <c r="E85" s="1018"/>
      <c r="F85" s="1018"/>
      <c r="G85" s="1018"/>
      <c r="H85" s="1018"/>
      <c r="I85" s="1018"/>
      <c r="J85" s="1018"/>
      <c r="K85" s="1018"/>
      <c r="L85" s="1018"/>
      <c r="M85" s="1018"/>
      <c r="N85" s="1018"/>
      <c r="O85" s="1018"/>
      <c r="P85" s="1018"/>
      <c r="Q85" s="1018"/>
      <c r="R85" s="1018"/>
      <c r="S85" s="1018"/>
      <c r="T85" s="1018"/>
      <c r="U85" s="1018"/>
      <c r="V85" s="1332"/>
      <c r="W85" s="1018"/>
      <c r="X85" s="1018"/>
      <c r="Y85" s="1018"/>
      <c r="Z85" s="1018"/>
      <c r="AA85" s="1018"/>
      <c r="AB85" s="1018"/>
      <c r="AC85" s="1018"/>
      <c r="AD85" s="1018"/>
      <c r="AE85" s="1018"/>
    </row>
    <row r="86" spans="1:31">
      <c r="A86" s="1018"/>
      <c r="B86" s="1018"/>
      <c r="C86" s="1018"/>
      <c r="D86" s="1018"/>
      <c r="E86" s="1018"/>
      <c r="F86" s="1018"/>
      <c r="G86" s="1018"/>
      <c r="H86" s="1018"/>
      <c r="I86" s="1018"/>
      <c r="J86" s="1018"/>
      <c r="K86" s="1018"/>
      <c r="L86" s="1018"/>
      <c r="M86" s="1018"/>
      <c r="N86" s="1018"/>
      <c r="O86" s="1018"/>
      <c r="P86" s="1018"/>
      <c r="Q86" s="1018"/>
      <c r="R86" s="1018"/>
      <c r="S86" s="1018"/>
      <c r="T86" s="1018"/>
      <c r="U86" s="1018"/>
      <c r="V86" s="1332"/>
      <c r="W86" s="1018"/>
      <c r="X86" s="1018"/>
      <c r="Y86" s="1018"/>
      <c r="Z86" s="1018"/>
      <c r="AA86" s="1018"/>
      <c r="AB86" s="1018"/>
      <c r="AC86" s="1018"/>
      <c r="AD86" s="1018"/>
      <c r="AE86" s="1018"/>
    </row>
    <row r="87" spans="1:31">
      <c r="A87" s="1018"/>
      <c r="B87" s="1018"/>
      <c r="C87" s="1018"/>
      <c r="D87" s="1018"/>
      <c r="E87" s="1018"/>
      <c r="F87" s="1018"/>
      <c r="G87" s="1018"/>
      <c r="H87" s="1018"/>
      <c r="I87" s="1018"/>
      <c r="J87" s="1018"/>
      <c r="K87" s="1018"/>
      <c r="L87" s="1018"/>
      <c r="M87" s="1018"/>
      <c r="N87" s="1018"/>
      <c r="O87" s="1018"/>
      <c r="P87" s="1018"/>
      <c r="Q87" s="1018"/>
      <c r="R87" s="1018"/>
      <c r="S87" s="1018"/>
      <c r="T87" s="1018"/>
      <c r="U87" s="1018"/>
      <c r="V87" s="1332"/>
      <c r="W87" s="1018"/>
      <c r="X87" s="1018"/>
      <c r="Y87" s="1018"/>
      <c r="Z87" s="1018"/>
      <c r="AA87" s="1018"/>
      <c r="AB87" s="1018"/>
      <c r="AC87" s="1018"/>
      <c r="AD87" s="1018"/>
      <c r="AE87" s="1018"/>
    </row>
    <row r="88" spans="1:31">
      <c r="A88" s="1018"/>
      <c r="B88" s="1018"/>
      <c r="C88" s="1018"/>
      <c r="D88" s="1018"/>
      <c r="E88" s="1018"/>
      <c r="F88" s="1018"/>
      <c r="G88" s="1018"/>
      <c r="H88" s="1018"/>
      <c r="I88" s="1018"/>
      <c r="J88" s="1018"/>
      <c r="K88" s="1018"/>
      <c r="L88" s="1018"/>
      <c r="M88" s="1018"/>
      <c r="N88" s="1018"/>
      <c r="O88" s="1018"/>
      <c r="P88" s="1018"/>
      <c r="Q88" s="1018"/>
      <c r="R88" s="1018"/>
      <c r="S88" s="1018"/>
      <c r="T88" s="1018"/>
      <c r="U88" s="1018"/>
      <c r="V88" s="1332"/>
      <c r="W88" s="1018"/>
      <c r="X88" s="1018"/>
      <c r="Y88" s="1018"/>
      <c r="Z88" s="1018"/>
      <c r="AA88" s="1018"/>
      <c r="AB88" s="1018"/>
      <c r="AC88" s="1018"/>
      <c r="AD88" s="1018"/>
      <c r="AE88" s="1018"/>
    </row>
    <row r="89" spans="1:31">
      <c r="A89" s="1018"/>
      <c r="B89" s="1018"/>
      <c r="C89" s="1018"/>
      <c r="D89" s="1018"/>
      <c r="E89" s="1018"/>
      <c r="F89" s="1018"/>
      <c r="G89" s="1018"/>
      <c r="H89" s="1018"/>
      <c r="I89" s="1018"/>
      <c r="J89" s="1018"/>
      <c r="K89" s="1018"/>
      <c r="L89" s="1018"/>
      <c r="M89" s="1018"/>
      <c r="N89" s="1018"/>
      <c r="O89" s="1018"/>
      <c r="P89" s="1018"/>
      <c r="Q89" s="1018"/>
      <c r="R89" s="1018"/>
      <c r="S89" s="1018"/>
      <c r="T89" s="1018"/>
      <c r="U89" s="1018"/>
      <c r="V89" s="1332"/>
      <c r="W89" s="1018"/>
      <c r="X89" s="1018"/>
      <c r="Y89" s="1018"/>
      <c r="Z89" s="1018"/>
      <c r="AA89" s="1018"/>
      <c r="AB89" s="1018"/>
      <c r="AC89" s="1018"/>
      <c r="AD89" s="1018"/>
      <c r="AE89" s="1018"/>
    </row>
    <row r="90" spans="1:31">
      <c r="A90" s="1018"/>
      <c r="B90" s="1018"/>
      <c r="C90" s="1018"/>
      <c r="D90" s="1018"/>
      <c r="E90" s="1018"/>
      <c r="F90" s="1018"/>
      <c r="G90" s="1018"/>
      <c r="H90" s="1018"/>
      <c r="I90" s="1018"/>
      <c r="J90" s="1018"/>
      <c r="K90" s="1018"/>
      <c r="L90" s="1018"/>
      <c r="M90" s="1018"/>
      <c r="N90" s="1018"/>
      <c r="O90" s="1018"/>
      <c r="P90" s="1018"/>
      <c r="Q90" s="1018"/>
      <c r="R90" s="1018"/>
      <c r="S90" s="1018"/>
      <c r="T90" s="1018"/>
      <c r="U90" s="1018"/>
      <c r="V90" s="1332"/>
      <c r="W90" s="1018"/>
      <c r="X90" s="1018"/>
      <c r="Y90" s="1018"/>
      <c r="Z90" s="1018"/>
      <c r="AA90" s="1018"/>
      <c r="AB90" s="1018"/>
      <c r="AC90" s="1018"/>
      <c r="AD90" s="1018"/>
      <c r="AE90" s="1018"/>
    </row>
    <row r="91" spans="1:31">
      <c r="A91" s="1021" t="s">
        <v>20</v>
      </c>
      <c r="B91" s="1023"/>
      <c r="D91" s="1018"/>
      <c r="E91" s="1022" t="s">
        <v>386</v>
      </c>
      <c r="F91" s="1018"/>
      <c r="G91" s="1018"/>
      <c r="H91" s="1018"/>
      <c r="I91" s="1018"/>
      <c r="J91" s="1018"/>
      <c r="K91" s="1018"/>
      <c r="L91" s="1018"/>
      <c r="M91" s="1018"/>
      <c r="O91" s="1022" t="s">
        <v>383</v>
      </c>
      <c r="P91" s="1018"/>
      <c r="Q91" s="1018"/>
      <c r="R91" s="1018"/>
      <c r="S91" s="1018"/>
      <c r="T91" s="1018"/>
      <c r="U91" s="1018"/>
      <c r="V91" s="1332"/>
      <c r="W91" s="1018"/>
      <c r="X91" s="1018"/>
      <c r="Y91" s="1018"/>
      <c r="Z91" s="1018"/>
      <c r="AA91" s="1018"/>
      <c r="AB91" s="1018"/>
      <c r="AC91" s="1018"/>
      <c r="AD91" s="1018"/>
      <c r="AE91" s="1018"/>
    </row>
    <row r="92" spans="1:31">
      <c r="A92" s="1018"/>
      <c r="B92" s="1018"/>
      <c r="C92" s="1018"/>
      <c r="D92" s="1018"/>
      <c r="E92" s="1018"/>
      <c r="F92" s="1018"/>
      <c r="G92" s="1018"/>
      <c r="H92" s="1018"/>
      <c r="I92" s="1018"/>
      <c r="J92" s="1018"/>
      <c r="K92" s="1018"/>
      <c r="L92" s="1018"/>
      <c r="M92" s="1018"/>
      <c r="N92" s="1018"/>
      <c r="O92" s="1018"/>
      <c r="P92" s="1018"/>
      <c r="Q92" s="1018"/>
      <c r="R92" s="1018"/>
      <c r="S92" s="1018"/>
      <c r="T92" s="1018"/>
      <c r="U92" s="1018"/>
      <c r="V92" s="1332"/>
      <c r="W92" s="1018"/>
      <c r="X92" s="1018"/>
      <c r="Y92" s="1018"/>
      <c r="Z92" s="1018"/>
      <c r="AA92" s="1018"/>
      <c r="AB92" s="1018"/>
      <c r="AC92" s="1018"/>
      <c r="AD92" s="1018"/>
      <c r="AE92" s="1018"/>
    </row>
    <row r="93" spans="1:31">
      <c r="A93" s="1018"/>
      <c r="B93" s="1018"/>
      <c r="C93" s="1018"/>
      <c r="D93" s="1018"/>
      <c r="E93" s="1018"/>
      <c r="F93" s="1018"/>
      <c r="G93" s="1018"/>
      <c r="H93" s="1018"/>
      <c r="I93" s="1018"/>
      <c r="J93" s="1018"/>
      <c r="K93" s="1018"/>
      <c r="L93" s="1018"/>
      <c r="M93" s="1018"/>
      <c r="N93" s="1018"/>
      <c r="O93" s="1018"/>
      <c r="P93" s="1018"/>
      <c r="Q93" s="1018"/>
      <c r="R93" s="1018"/>
      <c r="S93" s="1018"/>
      <c r="T93" s="1018"/>
      <c r="U93" s="1018"/>
      <c r="V93" s="1332"/>
      <c r="W93" s="1018"/>
      <c r="X93" s="1018"/>
      <c r="Y93" s="1018"/>
      <c r="Z93" s="1018"/>
      <c r="AA93" s="1018"/>
      <c r="AB93" s="1018"/>
      <c r="AC93" s="1018"/>
      <c r="AD93" s="1018"/>
      <c r="AE93" s="1018"/>
    </row>
    <row r="94" spans="1:31">
      <c r="A94" s="1018"/>
      <c r="B94" s="1018"/>
      <c r="C94" s="1018"/>
      <c r="D94" s="1018"/>
      <c r="E94" s="1018"/>
      <c r="F94" s="1018"/>
      <c r="G94" s="1018"/>
      <c r="H94" s="1018"/>
      <c r="I94" s="1018"/>
      <c r="J94" s="1018"/>
      <c r="K94" s="1018"/>
      <c r="L94" s="1018"/>
      <c r="M94" s="1018"/>
      <c r="N94" s="1018"/>
      <c r="O94" s="1018"/>
      <c r="P94" s="1018"/>
      <c r="Q94" s="1018"/>
      <c r="R94" s="1018"/>
      <c r="S94" s="1018"/>
      <c r="T94" s="1018"/>
      <c r="U94" s="1018"/>
      <c r="V94" s="1332"/>
      <c r="W94" s="1018"/>
      <c r="X94" s="1018"/>
      <c r="Y94" s="1018"/>
      <c r="Z94" s="1018"/>
      <c r="AA94" s="1018"/>
      <c r="AB94" s="1018"/>
      <c r="AC94" s="1018"/>
      <c r="AD94" s="1018"/>
      <c r="AE94" s="1018"/>
    </row>
    <row r="95" spans="1:31">
      <c r="A95" s="1018"/>
      <c r="B95" s="1018"/>
      <c r="C95" s="1018"/>
      <c r="D95" s="1018"/>
      <c r="E95" s="1018"/>
      <c r="F95" s="1018"/>
      <c r="G95" s="1018"/>
      <c r="H95" s="1018"/>
      <c r="I95" s="1018"/>
      <c r="J95" s="1018"/>
      <c r="K95" s="1018"/>
      <c r="L95" s="1018"/>
      <c r="M95" s="1018"/>
      <c r="N95" s="1018"/>
      <c r="O95" s="1018"/>
      <c r="P95" s="1018"/>
      <c r="Q95" s="1018"/>
      <c r="R95" s="1018"/>
      <c r="S95" s="1018"/>
      <c r="T95" s="1018"/>
      <c r="U95" s="1018"/>
      <c r="V95" s="1332"/>
      <c r="W95" s="1018"/>
      <c r="X95" s="1018"/>
      <c r="Y95" s="1018"/>
      <c r="Z95" s="1018"/>
      <c r="AA95" s="1018"/>
      <c r="AB95" s="1018"/>
      <c r="AC95" s="1018"/>
      <c r="AD95" s="1018"/>
      <c r="AE95" s="1018"/>
    </row>
    <row r="96" spans="1:31">
      <c r="A96" s="1018"/>
      <c r="B96" s="1018"/>
      <c r="C96" s="1018"/>
      <c r="D96" s="1018"/>
      <c r="E96" s="1018"/>
      <c r="F96" s="1018"/>
      <c r="G96" s="1018"/>
      <c r="H96" s="1018"/>
      <c r="I96" s="1018"/>
      <c r="J96" s="1018"/>
      <c r="K96" s="1018"/>
      <c r="L96" s="1018"/>
      <c r="M96" s="1018"/>
      <c r="N96" s="1018"/>
      <c r="O96" s="1018"/>
      <c r="P96" s="1018"/>
      <c r="Q96" s="1018"/>
      <c r="R96" s="1018"/>
      <c r="S96" s="1018"/>
      <c r="T96" s="1018"/>
      <c r="U96" s="1018"/>
      <c r="V96" s="1332"/>
      <c r="W96" s="1018"/>
      <c r="X96" s="1018"/>
      <c r="Y96" s="1018"/>
      <c r="Z96" s="1018"/>
      <c r="AA96" s="1018"/>
      <c r="AB96" s="1018"/>
      <c r="AC96" s="1018"/>
      <c r="AD96" s="1018"/>
      <c r="AE96" s="1018"/>
    </row>
    <row r="97" spans="1:31">
      <c r="A97" s="1018"/>
      <c r="B97" s="1018"/>
      <c r="C97" s="1018"/>
      <c r="D97" s="1018"/>
      <c r="E97" s="1018"/>
      <c r="F97" s="1018"/>
      <c r="G97" s="1018"/>
      <c r="H97" s="1018"/>
      <c r="I97" s="1018"/>
      <c r="J97" s="1018"/>
      <c r="K97" s="1018"/>
      <c r="L97" s="1018"/>
      <c r="M97" s="1018"/>
      <c r="N97" s="1018"/>
      <c r="O97" s="1018"/>
      <c r="P97" s="1018"/>
      <c r="Q97" s="1018"/>
      <c r="R97" s="1018"/>
      <c r="S97" s="1018"/>
      <c r="T97" s="1018"/>
      <c r="U97" s="1018"/>
      <c r="V97" s="1332"/>
      <c r="W97" s="1018"/>
      <c r="X97" s="1018"/>
      <c r="Y97" s="1018"/>
      <c r="Z97" s="1018"/>
      <c r="AA97" s="1018"/>
      <c r="AB97" s="1018"/>
      <c r="AC97" s="1018"/>
      <c r="AD97" s="1018"/>
      <c r="AE97" s="1018"/>
    </row>
    <row r="98" spans="1:31">
      <c r="A98" s="1018"/>
      <c r="B98" s="1018"/>
      <c r="C98" s="1018"/>
      <c r="D98" s="1018"/>
      <c r="E98" s="1018"/>
      <c r="F98" s="1018"/>
      <c r="G98" s="1018"/>
      <c r="H98" s="1018"/>
      <c r="I98" s="1018"/>
      <c r="J98" s="1018"/>
      <c r="K98" s="1018"/>
      <c r="L98" s="1018"/>
      <c r="M98" s="1018"/>
      <c r="N98" s="1018"/>
      <c r="O98" s="1018"/>
      <c r="P98" s="1018"/>
      <c r="Q98" s="1018"/>
      <c r="R98" s="1018"/>
      <c r="S98" s="1018"/>
      <c r="T98" s="1018"/>
      <c r="U98" s="1018"/>
      <c r="V98" s="1332"/>
      <c r="W98" s="1018"/>
      <c r="X98" s="1018"/>
      <c r="Y98" s="1018"/>
      <c r="Z98" s="1018"/>
      <c r="AA98" s="1018"/>
      <c r="AB98" s="1018"/>
      <c r="AC98" s="1018"/>
      <c r="AD98" s="1018"/>
      <c r="AE98" s="1018"/>
    </row>
    <row r="99" spans="1:31">
      <c r="A99" s="1018"/>
      <c r="B99" s="1018"/>
      <c r="C99" s="1018"/>
      <c r="D99" s="1018"/>
      <c r="E99" s="1018"/>
      <c r="F99" s="1018"/>
      <c r="G99" s="1018"/>
      <c r="H99" s="1018"/>
      <c r="I99" s="1018"/>
      <c r="J99" s="1018"/>
      <c r="K99" s="1018"/>
      <c r="L99" s="1018"/>
      <c r="M99" s="1018"/>
      <c r="N99" s="1018"/>
      <c r="O99" s="1018"/>
      <c r="P99" s="1018"/>
      <c r="Q99" s="1018"/>
      <c r="R99" s="1018"/>
      <c r="S99" s="1018"/>
      <c r="T99" s="1018"/>
      <c r="U99" s="1018"/>
      <c r="V99" s="1332"/>
      <c r="W99" s="1018"/>
      <c r="X99" s="1018"/>
      <c r="Y99" s="1018"/>
      <c r="Z99" s="1018"/>
      <c r="AA99" s="1018"/>
      <c r="AB99" s="1018"/>
      <c r="AC99" s="1018"/>
      <c r="AD99" s="1018"/>
      <c r="AE99" s="1018"/>
    </row>
    <row r="100" spans="1:31">
      <c r="A100" s="1018"/>
      <c r="B100" s="1018"/>
      <c r="C100" s="1018"/>
      <c r="D100" s="1018"/>
      <c r="E100" s="1018"/>
      <c r="F100" s="1018"/>
      <c r="G100" s="1018"/>
      <c r="H100" s="1018"/>
      <c r="I100" s="1018"/>
      <c r="J100" s="1018"/>
      <c r="K100" s="1018"/>
      <c r="L100" s="1018"/>
      <c r="M100" s="1018"/>
      <c r="N100" s="1018"/>
      <c r="O100" s="1018"/>
      <c r="P100" s="1018"/>
      <c r="Q100" s="1018"/>
      <c r="R100" s="1018"/>
      <c r="S100" s="1018"/>
      <c r="T100" s="1018"/>
      <c r="U100" s="1018"/>
      <c r="V100" s="1332"/>
      <c r="W100" s="1018"/>
      <c r="X100" s="1018"/>
      <c r="Y100" s="1018"/>
      <c r="Z100" s="1018"/>
      <c r="AA100" s="1018"/>
      <c r="AB100" s="1018"/>
      <c r="AC100" s="1018"/>
      <c r="AD100" s="1018"/>
      <c r="AE100" s="1018"/>
    </row>
    <row r="101" spans="1:31">
      <c r="A101" s="1018"/>
      <c r="B101" s="1018"/>
      <c r="C101" s="1018"/>
      <c r="D101" s="1018"/>
      <c r="E101" s="1018"/>
      <c r="F101" s="1018"/>
      <c r="G101" s="1018"/>
      <c r="H101" s="1018"/>
      <c r="I101" s="1018"/>
      <c r="J101" s="1018"/>
      <c r="K101" s="1018"/>
      <c r="L101" s="1018"/>
      <c r="M101" s="1018"/>
      <c r="N101" s="1018"/>
      <c r="O101" s="1018"/>
      <c r="P101" s="1018"/>
      <c r="Q101" s="1018"/>
      <c r="R101" s="1018"/>
      <c r="S101" s="1018"/>
      <c r="T101" s="1018"/>
      <c r="U101" s="1018"/>
      <c r="V101" s="1332"/>
      <c r="W101" s="1018"/>
      <c r="X101" s="1018"/>
      <c r="Y101" s="1018"/>
      <c r="Z101" s="1018"/>
      <c r="AA101" s="1018"/>
      <c r="AB101" s="1018"/>
      <c r="AC101" s="1018"/>
      <c r="AD101" s="1018"/>
      <c r="AE101" s="1018"/>
    </row>
    <row r="102" spans="1:31">
      <c r="A102" s="1018"/>
      <c r="B102" s="1018"/>
      <c r="C102" s="1018"/>
      <c r="D102" s="1018"/>
      <c r="E102" s="1018"/>
      <c r="F102" s="1018"/>
      <c r="G102" s="1018"/>
      <c r="H102" s="1018"/>
      <c r="I102" s="1018"/>
      <c r="J102" s="1018"/>
      <c r="K102" s="1018"/>
      <c r="L102" s="1018"/>
      <c r="M102" s="1018"/>
      <c r="N102" s="1018"/>
      <c r="O102" s="1018"/>
      <c r="P102" s="1018"/>
      <c r="Q102" s="1018"/>
      <c r="R102" s="1018"/>
      <c r="S102" s="1018"/>
      <c r="T102" s="1018"/>
      <c r="U102" s="1018"/>
      <c r="V102" s="1332"/>
      <c r="W102" s="1018"/>
      <c r="X102" s="1018"/>
      <c r="Y102" s="1018"/>
      <c r="Z102" s="1018"/>
      <c r="AA102" s="1018"/>
      <c r="AB102" s="1018"/>
      <c r="AC102" s="1018"/>
      <c r="AD102" s="1018"/>
      <c r="AE102" s="1018"/>
    </row>
    <row r="103" spans="1:31">
      <c r="A103" s="1018"/>
      <c r="B103" s="1018"/>
      <c r="C103" s="1018"/>
      <c r="D103" s="1018"/>
      <c r="E103" s="1018"/>
      <c r="F103" s="1018"/>
      <c r="G103" s="1018"/>
      <c r="H103" s="1018"/>
      <c r="I103" s="1018"/>
      <c r="J103" s="1018"/>
      <c r="K103" s="1018"/>
      <c r="L103" s="1018"/>
      <c r="M103" s="1018"/>
      <c r="N103" s="1018"/>
      <c r="O103" s="1018"/>
      <c r="P103" s="1018"/>
      <c r="Q103" s="1018"/>
      <c r="R103" s="1018"/>
      <c r="S103" s="1018"/>
      <c r="T103" s="1018"/>
      <c r="U103" s="1018"/>
      <c r="V103" s="1332"/>
      <c r="W103" s="1018"/>
      <c r="X103" s="1018"/>
      <c r="Y103" s="1018"/>
      <c r="Z103" s="1018"/>
      <c r="AA103" s="1018"/>
      <c r="AB103" s="1018"/>
      <c r="AC103" s="1018"/>
      <c r="AD103" s="1018"/>
      <c r="AE103" s="1018"/>
    </row>
    <row r="104" spans="1:31">
      <c r="A104" s="1018"/>
      <c r="B104" s="1018"/>
      <c r="C104" s="1018"/>
      <c r="D104" s="1018"/>
      <c r="E104" s="1018"/>
      <c r="F104" s="1018"/>
      <c r="G104" s="1018"/>
      <c r="H104" s="1018"/>
      <c r="I104" s="1018"/>
      <c r="J104" s="1018"/>
      <c r="K104" s="1018"/>
      <c r="L104" s="1018"/>
      <c r="M104" s="1018"/>
      <c r="N104" s="1018"/>
      <c r="O104" s="1018"/>
      <c r="P104" s="1018"/>
      <c r="Q104" s="1018"/>
      <c r="R104" s="1018"/>
      <c r="S104" s="1018"/>
      <c r="T104" s="1018"/>
      <c r="U104" s="1018"/>
      <c r="V104" s="1332"/>
      <c r="W104" s="1018"/>
      <c r="X104" s="1018"/>
      <c r="Y104" s="1018"/>
      <c r="Z104" s="1018"/>
      <c r="AA104" s="1018"/>
      <c r="AB104" s="1018"/>
      <c r="AC104" s="1018"/>
      <c r="AD104" s="1018"/>
      <c r="AE104" s="1018"/>
    </row>
    <row r="105" spans="1:31">
      <c r="A105" s="1018"/>
      <c r="B105" s="1018"/>
      <c r="C105" s="1018"/>
      <c r="D105" s="1018"/>
      <c r="E105" s="1018"/>
      <c r="F105" s="1018"/>
      <c r="G105" s="1018"/>
      <c r="H105" s="1018"/>
      <c r="I105" s="1018"/>
      <c r="J105" s="1018"/>
      <c r="K105" s="1018"/>
      <c r="L105" s="1018"/>
      <c r="M105" s="1018"/>
      <c r="N105" s="1018"/>
      <c r="O105" s="1018"/>
      <c r="P105" s="1018"/>
      <c r="Q105" s="1018"/>
      <c r="R105" s="1018"/>
      <c r="S105" s="1018"/>
      <c r="T105" s="1018"/>
      <c r="U105" s="1018"/>
      <c r="V105" s="1332"/>
      <c r="W105" s="1018"/>
      <c r="X105" s="1018"/>
      <c r="Y105" s="1018"/>
      <c r="Z105" s="1018"/>
      <c r="AA105" s="1018"/>
      <c r="AB105" s="1018"/>
      <c r="AC105" s="1018"/>
      <c r="AD105" s="1018"/>
      <c r="AE105" s="1018"/>
    </row>
    <row r="106" spans="1:31">
      <c r="A106" s="1018"/>
      <c r="B106" s="1018"/>
      <c r="C106" s="1018"/>
      <c r="D106" s="1018"/>
      <c r="E106" s="1018"/>
      <c r="F106" s="1018"/>
      <c r="G106" s="1018"/>
      <c r="H106" s="1018"/>
      <c r="I106" s="1018"/>
      <c r="J106" s="1018"/>
      <c r="K106" s="1018"/>
      <c r="L106" s="1018"/>
      <c r="M106" s="1018"/>
      <c r="N106" s="1018"/>
      <c r="O106" s="1018"/>
      <c r="P106" s="1018"/>
      <c r="Q106" s="1018"/>
      <c r="R106" s="1018"/>
      <c r="S106" s="1018"/>
      <c r="T106" s="1018"/>
      <c r="U106" s="1018"/>
      <c r="V106" s="1332"/>
      <c r="W106" s="1018"/>
      <c r="X106" s="1018"/>
      <c r="Y106" s="1018"/>
      <c r="Z106" s="1018"/>
      <c r="AA106" s="1018"/>
      <c r="AB106" s="1018"/>
      <c r="AC106" s="1018"/>
      <c r="AD106" s="1018"/>
      <c r="AE106" s="1018"/>
    </row>
    <row r="107" spans="1:31">
      <c r="A107" s="1018"/>
      <c r="B107" s="1018"/>
      <c r="C107" s="1018"/>
      <c r="D107" s="1018"/>
      <c r="E107" s="1018"/>
      <c r="F107" s="1018"/>
      <c r="G107" s="1018"/>
      <c r="H107" s="1018"/>
      <c r="I107" s="1018"/>
      <c r="J107" s="1018"/>
      <c r="K107" s="1018"/>
      <c r="L107" s="1018"/>
      <c r="M107" s="1018"/>
      <c r="N107" s="1018"/>
      <c r="O107" s="1018"/>
      <c r="P107" s="1018"/>
      <c r="Q107" s="1018"/>
      <c r="R107" s="1018"/>
      <c r="S107" s="1018"/>
      <c r="T107" s="1018"/>
      <c r="U107" s="1018"/>
      <c r="V107" s="1332"/>
      <c r="W107" s="1018"/>
      <c r="X107" s="1018"/>
      <c r="Y107" s="1018"/>
      <c r="Z107" s="1018"/>
      <c r="AA107" s="1018"/>
      <c r="AB107" s="1018"/>
      <c r="AC107" s="1018"/>
      <c r="AD107" s="1018"/>
      <c r="AE107" s="1018"/>
    </row>
    <row r="108" spans="1:31">
      <c r="A108" s="1018"/>
      <c r="B108" s="1018"/>
      <c r="C108" s="1018"/>
      <c r="D108" s="1018"/>
      <c r="E108" s="1018"/>
      <c r="F108" s="1018"/>
      <c r="G108" s="1018"/>
      <c r="H108" s="1018"/>
      <c r="I108" s="1018"/>
      <c r="J108" s="1018"/>
      <c r="K108" s="1018"/>
      <c r="L108" s="1018"/>
      <c r="M108" s="1018"/>
      <c r="N108" s="1018"/>
      <c r="O108" s="1018"/>
      <c r="P108" s="1018"/>
      <c r="Q108" s="1018"/>
      <c r="R108" s="1018"/>
      <c r="S108" s="1018"/>
      <c r="T108" s="1018"/>
      <c r="U108" s="1018"/>
      <c r="V108" s="1332"/>
      <c r="W108" s="1018"/>
      <c r="X108" s="1018"/>
      <c r="Y108" s="1018"/>
      <c r="Z108" s="1018"/>
      <c r="AA108" s="1018"/>
      <c r="AB108" s="1018"/>
      <c r="AC108" s="1018"/>
      <c r="AD108" s="1018"/>
      <c r="AE108" s="1018"/>
    </row>
    <row r="109" spans="1:31">
      <c r="A109" s="1018"/>
      <c r="B109" s="1018"/>
      <c r="C109" s="1018"/>
      <c r="D109" s="1018"/>
      <c r="E109" s="1018"/>
      <c r="F109" s="1018"/>
      <c r="G109" s="1018"/>
      <c r="H109" s="1018"/>
      <c r="I109" s="1018"/>
      <c r="J109" s="1018"/>
      <c r="K109" s="1018"/>
      <c r="L109" s="1018"/>
      <c r="M109" s="1018"/>
      <c r="N109" s="1018"/>
      <c r="O109" s="1018"/>
      <c r="P109" s="1018"/>
      <c r="Q109" s="1018"/>
      <c r="R109" s="1018"/>
      <c r="S109" s="1018"/>
      <c r="T109" s="1018"/>
      <c r="U109" s="1018"/>
      <c r="V109" s="1332"/>
      <c r="W109" s="1018"/>
      <c r="X109" s="1018"/>
      <c r="Y109" s="1018"/>
      <c r="Z109" s="1018"/>
      <c r="AA109" s="1018"/>
      <c r="AB109" s="1018"/>
      <c r="AC109" s="1018"/>
      <c r="AD109" s="1018"/>
      <c r="AE109" s="1018"/>
    </row>
    <row r="110" spans="1:31">
      <c r="A110" s="1018"/>
      <c r="B110" s="1018"/>
      <c r="C110" s="1018"/>
      <c r="D110" s="1018"/>
      <c r="E110" s="1018"/>
      <c r="F110" s="1018"/>
      <c r="G110" s="1018"/>
      <c r="H110" s="1018"/>
      <c r="I110" s="1018"/>
      <c r="J110" s="1018"/>
      <c r="K110" s="1018"/>
      <c r="L110" s="1018"/>
      <c r="M110" s="1018"/>
      <c r="N110" s="1018"/>
      <c r="O110" s="1018"/>
      <c r="P110" s="1018"/>
      <c r="Q110" s="1018"/>
      <c r="R110" s="1018"/>
      <c r="S110" s="1018"/>
      <c r="T110" s="1018"/>
      <c r="U110" s="1018"/>
      <c r="V110" s="1332"/>
      <c r="W110" s="1018"/>
      <c r="X110" s="1018"/>
      <c r="Y110" s="1018"/>
      <c r="Z110" s="1018"/>
      <c r="AA110" s="1018"/>
      <c r="AB110" s="1018"/>
      <c r="AC110" s="1018"/>
      <c r="AD110" s="1018"/>
      <c r="AE110" s="1018"/>
    </row>
    <row r="111" spans="1:31">
      <c r="A111" s="1018"/>
      <c r="B111" s="1018"/>
      <c r="C111" s="1018"/>
      <c r="D111" s="1018"/>
      <c r="E111" s="1018"/>
      <c r="F111" s="1018"/>
      <c r="G111" s="1018"/>
      <c r="H111" s="1018"/>
      <c r="I111" s="1018"/>
      <c r="J111" s="1018"/>
      <c r="K111" s="1018"/>
      <c r="L111" s="1018"/>
      <c r="M111" s="1018"/>
      <c r="N111" s="1018"/>
      <c r="O111" s="1018"/>
      <c r="P111" s="1018"/>
      <c r="Q111" s="1018"/>
      <c r="R111" s="1018"/>
      <c r="S111" s="1018"/>
      <c r="T111" s="1018"/>
      <c r="U111" s="1018"/>
      <c r="V111" s="1332"/>
      <c r="W111" s="1018"/>
      <c r="X111" s="1018"/>
      <c r="Y111" s="1018"/>
      <c r="Z111" s="1018"/>
      <c r="AA111" s="1018"/>
      <c r="AB111" s="1018"/>
      <c r="AC111" s="1018"/>
      <c r="AD111" s="1018"/>
      <c r="AE111" s="1018"/>
    </row>
    <row r="112" spans="1:31">
      <c r="A112" s="1018"/>
      <c r="B112" s="1018"/>
      <c r="C112" s="1018"/>
      <c r="D112" s="1018"/>
      <c r="E112" s="1018"/>
      <c r="F112" s="1018"/>
      <c r="G112" s="1018"/>
      <c r="H112" s="1018"/>
      <c r="I112" s="1018"/>
      <c r="J112" s="1018"/>
      <c r="K112" s="1018"/>
      <c r="L112" s="1018"/>
      <c r="M112" s="1018"/>
      <c r="N112" s="1018"/>
      <c r="O112" s="1018"/>
      <c r="P112" s="1018"/>
      <c r="Q112" s="1018"/>
      <c r="R112" s="1018"/>
      <c r="S112" s="1018"/>
      <c r="T112" s="1018"/>
      <c r="U112" s="1018"/>
      <c r="V112" s="1332"/>
      <c r="W112" s="1018"/>
      <c r="X112" s="1018"/>
      <c r="Y112" s="1018"/>
      <c r="Z112" s="1018"/>
      <c r="AA112" s="1018"/>
      <c r="AB112" s="1018"/>
      <c r="AC112" s="1018"/>
      <c r="AD112" s="1018"/>
      <c r="AE112" s="1018"/>
    </row>
    <row r="113" spans="1:31">
      <c r="A113" s="1018"/>
      <c r="B113" s="1018"/>
      <c r="C113" s="1018"/>
      <c r="D113" s="1018"/>
      <c r="E113" s="1018"/>
      <c r="F113" s="1018"/>
      <c r="G113" s="1018"/>
      <c r="H113" s="1018"/>
      <c r="I113" s="1018"/>
      <c r="J113" s="1018"/>
      <c r="K113" s="1018"/>
      <c r="L113" s="1018"/>
      <c r="M113" s="1018"/>
      <c r="N113" s="1018"/>
      <c r="O113" s="1018"/>
      <c r="P113" s="1018"/>
      <c r="Q113" s="1018"/>
      <c r="R113" s="1018"/>
      <c r="S113" s="1018"/>
      <c r="T113" s="1018"/>
      <c r="U113" s="1018"/>
      <c r="V113" s="1332"/>
      <c r="W113" s="1018"/>
      <c r="X113" s="1018"/>
      <c r="Y113" s="1018"/>
      <c r="Z113" s="1018"/>
      <c r="AA113" s="1018"/>
      <c r="AB113" s="1018"/>
      <c r="AC113" s="1018"/>
      <c r="AD113" s="1018"/>
      <c r="AE113" s="1018"/>
    </row>
    <row r="114" spans="1:31">
      <c r="A114" s="1018"/>
      <c r="B114" s="1018"/>
      <c r="C114" s="1018"/>
      <c r="D114" s="1018"/>
      <c r="E114" s="1018"/>
      <c r="F114" s="1018"/>
      <c r="G114" s="1018"/>
      <c r="H114" s="1018"/>
      <c r="I114" s="1018"/>
      <c r="J114" s="1018"/>
      <c r="K114" s="1018"/>
      <c r="L114" s="1018"/>
      <c r="M114" s="1018"/>
      <c r="N114" s="1018"/>
      <c r="O114" s="1018"/>
      <c r="P114" s="1018"/>
      <c r="Q114" s="1018"/>
      <c r="R114" s="1018"/>
      <c r="S114" s="1018"/>
      <c r="T114" s="1018"/>
      <c r="U114" s="1018"/>
      <c r="V114" s="1332"/>
      <c r="W114" s="1018"/>
      <c r="X114" s="1018"/>
      <c r="Y114" s="1018"/>
      <c r="Z114" s="1018"/>
      <c r="AA114" s="1018"/>
      <c r="AB114" s="1018"/>
      <c r="AC114" s="1018"/>
      <c r="AD114" s="1018"/>
      <c r="AE114" s="1018"/>
    </row>
    <row r="115" spans="1:31">
      <c r="A115" s="1018"/>
      <c r="B115" s="1018"/>
      <c r="C115" s="1018"/>
      <c r="D115" s="1018"/>
      <c r="E115" s="1018"/>
      <c r="F115" s="1018"/>
      <c r="G115" s="1018"/>
      <c r="H115" s="1018"/>
      <c r="I115" s="1018"/>
      <c r="J115" s="1018"/>
      <c r="K115" s="1018"/>
      <c r="L115" s="1018"/>
      <c r="M115" s="1018"/>
      <c r="N115" s="1018"/>
      <c r="O115" s="1018"/>
      <c r="P115" s="1018"/>
      <c r="Q115" s="1018"/>
      <c r="R115" s="1018"/>
      <c r="S115" s="1018"/>
      <c r="T115" s="1018"/>
      <c r="U115" s="1018"/>
      <c r="V115" s="1332"/>
      <c r="W115" s="1018"/>
      <c r="X115" s="1018"/>
      <c r="Y115" s="1018"/>
      <c r="Z115" s="1018"/>
      <c r="AA115" s="1018"/>
      <c r="AB115" s="1018"/>
      <c r="AC115" s="1018"/>
      <c r="AD115" s="1018"/>
      <c r="AE115" s="1018"/>
    </row>
    <row r="116" spans="1:31">
      <c r="A116" s="1018"/>
      <c r="B116" s="1018"/>
      <c r="C116" s="1018"/>
      <c r="D116" s="1018"/>
      <c r="E116" s="1018"/>
      <c r="F116" s="1018"/>
      <c r="G116" s="1018"/>
      <c r="H116" s="1018"/>
      <c r="I116" s="1018"/>
      <c r="J116" s="1018"/>
      <c r="K116" s="1018"/>
      <c r="L116" s="1018"/>
      <c r="M116" s="1018"/>
      <c r="N116" s="1018"/>
      <c r="O116" s="1018"/>
      <c r="P116" s="1018"/>
      <c r="Q116" s="1018"/>
      <c r="R116" s="1018"/>
      <c r="S116" s="1018"/>
      <c r="T116" s="1018"/>
      <c r="U116" s="1018"/>
      <c r="V116" s="1332"/>
      <c r="W116" s="1018"/>
      <c r="X116" s="1018"/>
      <c r="Y116" s="1018"/>
      <c r="Z116" s="1018"/>
      <c r="AA116" s="1018"/>
      <c r="AB116" s="1018"/>
      <c r="AC116" s="1018"/>
      <c r="AD116" s="1018"/>
      <c r="AE116" s="1018"/>
    </row>
    <row r="117" spans="1:31">
      <c r="A117" s="1018"/>
      <c r="B117" s="1018"/>
      <c r="C117" s="1018"/>
      <c r="D117" s="1018"/>
      <c r="E117" s="1018"/>
      <c r="F117" s="1018"/>
      <c r="G117" s="1018"/>
      <c r="H117" s="1018"/>
      <c r="I117" s="1018"/>
      <c r="J117" s="1018"/>
      <c r="K117" s="1018"/>
      <c r="L117" s="1018"/>
      <c r="M117" s="1018"/>
      <c r="N117" s="1018"/>
      <c r="O117" s="1018"/>
      <c r="P117" s="1018"/>
      <c r="Q117" s="1018"/>
      <c r="R117" s="1018"/>
      <c r="S117" s="1018"/>
      <c r="T117" s="1018"/>
      <c r="U117" s="1018"/>
      <c r="V117" s="1332"/>
      <c r="W117" s="1018"/>
      <c r="X117" s="1018"/>
      <c r="Y117" s="1018"/>
      <c r="Z117" s="1018"/>
      <c r="AA117" s="1018"/>
      <c r="AB117" s="1018"/>
      <c r="AC117" s="1018"/>
      <c r="AD117" s="1018"/>
      <c r="AE117" s="1018"/>
    </row>
    <row r="118" spans="1:31">
      <c r="A118" s="1018"/>
      <c r="B118" s="1018"/>
      <c r="C118" s="1018"/>
      <c r="D118" s="1018"/>
      <c r="E118" s="1018"/>
      <c r="F118" s="1018"/>
      <c r="G118" s="1018"/>
      <c r="H118" s="1018"/>
      <c r="I118" s="1018"/>
      <c r="J118" s="1018"/>
      <c r="K118" s="1018"/>
      <c r="L118" s="1018"/>
      <c r="M118" s="1018"/>
      <c r="N118" s="1018"/>
      <c r="O118" s="1018"/>
      <c r="P118" s="1018"/>
      <c r="Q118" s="1018"/>
      <c r="R118" s="1018"/>
      <c r="S118" s="1018"/>
      <c r="T118" s="1018"/>
      <c r="U118" s="1018"/>
      <c r="V118" s="1332"/>
      <c r="W118" s="1018"/>
      <c r="X118" s="1018"/>
      <c r="Y118" s="1018"/>
      <c r="Z118" s="1018"/>
      <c r="AA118" s="1018"/>
      <c r="AB118" s="1018"/>
      <c r="AC118" s="1018"/>
      <c r="AD118" s="1018"/>
      <c r="AE118" s="1018"/>
    </row>
    <row r="119" spans="1:31">
      <c r="A119" s="1018"/>
      <c r="B119" s="1018"/>
      <c r="C119" s="1018"/>
      <c r="D119" s="1018"/>
      <c r="E119" s="1018"/>
      <c r="F119" s="1018"/>
      <c r="G119" s="1018"/>
      <c r="H119" s="1018"/>
      <c r="I119" s="1018"/>
      <c r="J119" s="1018"/>
      <c r="K119" s="1018"/>
      <c r="L119" s="1018"/>
      <c r="M119" s="1018"/>
      <c r="N119" s="1018"/>
      <c r="O119" s="1018"/>
      <c r="P119" s="1018"/>
      <c r="Q119" s="1018"/>
      <c r="R119" s="1018"/>
      <c r="S119" s="1018"/>
      <c r="T119" s="1018"/>
      <c r="U119" s="1018"/>
      <c r="V119" s="1332"/>
      <c r="W119" s="1018"/>
      <c r="X119" s="1018"/>
      <c r="Y119" s="1018"/>
      <c r="Z119" s="1018"/>
      <c r="AA119" s="1018"/>
      <c r="AB119" s="1018"/>
      <c r="AC119" s="1018"/>
      <c r="AD119" s="1018"/>
      <c r="AE119" s="1018"/>
    </row>
    <row r="120" spans="1:31">
      <c r="A120" s="1021" t="s">
        <v>387</v>
      </c>
      <c r="B120" s="1023"/>
      <c r="D120" s="1018"/>
      <c r="E120" s="1199" t="s">
        <v>394</v>
      </c>
      <c r="G120" s="1018"/>
      <c r="H120" s="1018"/>
      <c r="I120" s="1018"/>
      <c r="J120" s="1018"/>
      <c r="K120" s="1018"/>
      <c r="L120" s="1018"/>
      <c r="M120" s="1018"/>
      <c r="N120" s="1018"/>
      <c r="O120" s="1018"/>
      <c r="P120" s="1018"/>
      <c r="Q120" s="1018"/>
      <c r="R120" s="1018"/>
      <c r="S120" s="1018"/>
      <c r="T120" s="1018"/>
      <c r="U120" s="1018"/>
      <c r="V120" s="1332"/>
      <c r="W120" s="1018"/>
      <c r="X120" s="1018"/>
      <c r="Y120" s="1018"/>
      <c r="Z120" s="1018"/>
      <c r="AA120" s="1018"/>
      <c r="AB120" s="1018"/>
      <c r="AC120" s="1018"/>
      <c r="AD120" s="1018"/>
      <c r="AE120" s="1018"/>
    </row>
    <row r="121" spans="1:31">
      <c r="A121" s="1018"/>
      <c r="B121" s="1018"/>
      <c r="C121" s="1018"/>
      <c r="D121" s="1018"/>
      <c r="E121" s="1018"/>
      <c r="F121" s="1018"/>
      <c r="G121" s="1018"/>
      <c r="H121" s="1018"/>
      <c r="I121" s="1018"/>
      <c r="J121" s="1018"/>
      <c r="K121" s="1018"/>
      <c r="L121" s="1018"/>
      <c r="M121" s="1018"/>
      <c r="N121" s="1018"/>
      <c r="O121" s="1018"/>
      <c r="P121" s="1018"/>
      <c r="Q121" s="1018"/>
      <c r="R121" s="1018"/>
      <c r="S121" s="1018"/>
      <c r="T121" s="1018"/>
      <c r="U121" s="1018"/>
      <c r="V121" s="1332"/>
      <c r="W121" s="1018"/>
      <c r="X121" s="1018"/>
      <c r="Y121" s="1018"/>
      <c r="Z121" s="1018"/>
      <c r="AA121" s="1018"/>
      <c r="AB121" s="1018"/>
      <c r="AC121" s="1018"/>
      <c r="AD121" s="1018"/>
      <c r="AE121" s="1018"/>
    </row>
    <row r="122" spans="1:31">
      <c r="A122" s="1018"/>
      <c r="B122" s="1018"/>
      <c r="C122" s="1018"/>
      <c r="D122" s="1018"/>
      <c r="E122" s="1018"/>
      <c r="F122" s="1018"/>
      <c r="G122" s="1018"/>
      <c r="H122" s="1018"/>
      <c r="I122" s="1018"/>
      <c r="J122" s="1018"/>
      <c r="K122" s="1018"/>
      <c r="L122" s="1018"/>
      <c r="M122" s="1018"/>
      <c r="N122" s="1018"/>
      <c r="O122" s="1018"/>
      <c r="P122" s="1018"/>
      <c r="Q122" s="1018"/>
      <c r="R122" s="1018"/>
      <c r="S122" s="1018"/>
      <c r="T122" s="1018"/>
      <c r="U122" s="1018"/>
      <c r="V122" s="1332"/>
      <c r="W122" s="1018"/>
      <c r="X122" s="1018"/>
      <c r="Y122" s="1018"/>
      <c r="Z122" s="1018"/>
      <c r="AA122" s="1018"/>
      <c r="AB122" s="1018"/>
      <c r="AC122" s="1018"/>
      <c r="AD122" s="1018"/>
      <c r="AE122" s="1018"/>
    </row>
    <row r="123" spans="1:31">
      <c r="A123" s="1018"/>
      <c r="B123" s="1018"/>
      <c r="C123" s="1018"/>
      <c r="D123" s="1018"/>
      <c r="E123" s="1018"/>
      <c r="F123" s="1018"/>
      <c r="G123" s="1018"/>
      <c r="H123" s="1018"/>
      <c r="I123" s="1018"/>
      <c r="J123" s="1018"/>
      <c r="K123" s="1018"/>
      <c r="M123" s="1018"/>
      <c r="N123" s="1018"/>
      <c r="O123" s="1018"/>
      <c r="P123" s="1018"/>
      <c r="Q123" s="1018"/>
      <c r="R123" s="1018"/>
      <c r="S123" s="1018"/>
      <c r="T123" s="1018"/>
      <c r="U123" s="1018"/>
      <c r="V123" s="1332"/>
      <c r="W123" s="1018"/>
      <c r="X123" s="1018"/>
      <c r="Y123" s="1018"/>
      <c r="Z123" s="1018"/>
      <c r="AA123" s="1018"/>
      <c r="AB123" s="1018"/>
      <c r="AC123" s="1018"/>
      <c r="AD123" s="1018"/>
      <c r="AE123" s="1018"/>
    </row>
    <row r="124" spans="1:31">
      <c r="A124" s="1018"/>
      <c r="B124" s="1018"/>
      <c r="C124" s="1018"/>
      <c r="D124" s="1018"/>
      <c r="E124" s="1018"/>
      <c r="F124" s="1018"/>
      <c r="G124" s="1018"/>
      <c r="H124" s="1018"/>
      <c r="I124" s="1018"/>
      <c r="J124" s="1018"/>
      <c r="K124" s="1018"/>
      <c r="M124" s="1018"/>
      <c r="N124" s="1018"/>
      <c r="O124" s="1018"/>
      <c r="P124" s="1018"/>
      <c r="Q124" s="1018"/>
      <c r="R124" s="1018"/>
      <c r="S124" s="1018"/>
      <c r="T124" s="1018"/>
      <c r="U124" s="1018"/>
      <c r="V124" s="1332"/>
      <c r="W124" s="1018"/>
      <c r="X124" s="1018"/>
      <c r="Y124" s="1018"/>
      <c r="Z124" s="1018"/>
      <c r="AA124" s="1018"/>
      <c r="AB124" s="1018"/>
      <c r="AC124" s="1018"/>
      <c r="AD124" s="1018"/>
      <c r="AE124" s="1018"/>
    </row>
    <row r="125" spans="1:31">
      <c r="A125" s="1018"/>
      <c r="B125" s="1018"/>
      <c r="C125" s="1018"/>
      <c r="D125" s="1018"/>
      <c r="E125" s="1018"/>
      <c r="F125" s="1018"/>
      <c r="G125" s="1018"/>
      <c r="H125" s="1018"/>
      <c r="I125" s="1018"/>
      <c r="J125" s="1018"/>
      <c r="K125" s="1018"/>
      <c r="L125" s="1018"/>
      <c r="M125" s="1018"/>
      <c r="N125" s="1018"/>
      <c r="O125" s="1018"/>
      <c r="P125" s="1018"/>
      <c r="Q125" s="1018"/>
      <c r="R125" s="1018"/>
      <c r="S125" s="1018"/>
      <c r="T125" s="1018"/>
      <c r="U125" s="1018"/>
      <c r="V125" s="1332"/>
      <c r="W125" s="1018"/>
      <c r="X125" s="1018"/>
      <c r="Y125" s="1018"/>
      <c r="Z125" s="1018"/>
      <c r="AA125" s="1018"/>
      <c r="AB125" s="1018"/>
      <c r="AC125" s="1018"/>
      <c r="AD125" s="1018"/>
      <c r="AE125" s="1018"/>
    </row>
    <row r="126" spans="1:31">
      <c r="A126" s="1018"/>
      <c r="B126" s="1018"/>
      <c r="C126" s="1018"/>
      <c r="D126" s="1018"/>
      <c r="E126" s="1018"/>
      <c r="F126" s="1018"/>
      <c r="G126" s="1018"/>
      <c r="H126" s="1018"/>
      <c r="I126" s="1018"/>
      <c r="J126" s="1018"/>
      <c r="K126" s="1018"/>
      <c r="L126" s="1018"/>
      <c r="M126" s="1018"/>
      <c r="N126" s="1018"/>
      <c r="O126" s="1018"/>
      <c r="P126" s="1018"/>
      <c r="Q126" s="1018"/>
      <c r="R126" s="1018"/>
      <c r="S126" s="1018"/>
      <c r="T126" s="1018"/>
      <c r="U126" s="1018"/>
      <c r="V126" s="1332"/>
      <c r="W126" s="1018"/>
      <c r="X126" s="1018"/>
      <c r="Y126" s="1018"/>
      <c r="Z126" s="1018"/>
      <c r="AA126" s="1018"/>
      <c r="AB126" s="1018"/>
      <c r="AC126" s="1018"/>
      <c r="AD126" s="1018"/>
      <c r="AE126" s="1018"/>
    </row>
    <row r="127" spans="1:31">
      <c r="A127" s="1018"/>
      <c r="B127" s="1018"/>
      <c r="C127" s="1018"/>
      <c r="D127" s="1018"/>
      <c r="E127" s="1018"/>
      <c r="F127" s="1018"/>
      <c r="G127" s="1018"/>
      <c r="H127" s="1018"/>
      <c r="I127" s="1018"/>
      <c r="J127" s="1018"/>
      <c r="K127" s="1018"/>
      <c r="L127" s="1018"/>
      <c r="M127" s="1018"/>
      <c r="N127" s="1018"/>
      <c r="O127" s="1018"/>
      <c r="P127" s="1018"/>
      <c r="Q127" s="1018"/>
      <c r="R127" s="1018"/>
      <c r="S127" s="1018"/>
      <c r="T127" s="1018"/>
      <c r="U127" s="1018"/>
      <c r="V127" s="1332"/>
      <c r="W127" s="1018"/>
      <c r="X127" s="1018"/>
      <c r="Y127" s="1018"/>
      <c r="Z127" s="1018"/>
      <c r="AA127" s="1018"/>
      <c r="AB127" s="1018"/>
      <c r="AC127" s="1018"/>
      <c r="AD127" s="1018"/>
      <c r="AE127" s="1018"/>
    </row>
    <row r="128" spans="1:31">
      <c r="A128" s="1018"/>
      <c r="B128" s="1018"/>
      <c r="C128" s="1018"/>
      <c r="D128" s="1018"/>
      <c r="E128" s="1018"/>
      <c r="F128" s="1018"/>
      <c r="G128" s="1018"/>
      <c r="H128" s="1018"/>
      <c r="I128" s="1018"/>
      <c r="J128" s="1018"/>
      <c r="K128" s="1018"/>
      <c r="L128" s="1018"/>
      <c r="M128" s="1018"/>
      <c r="N128" s="1018"/>
      <c r="O128" s="1018"/>
      <c r="P128" s="1018"/>
      <c r="Q128" s="1018"/>
      <c r="R128" s="1018"/>
      <c r="S128" s="1018"/>
      <c r="T128" s="1018"/>
      <c r="U128" s="1018"/>
      <c r="V128" s="1332"/>
      <c r="W128" s="1018"/>
      <c r="X128" s="1018"/>
      <c r="Y128" s="1018"/>
      <c r="Z128" s="1018"/>
      <c r="AA128" s="1018"/>
      <c r="AB128" s="1018"/>
      <c r="AC128" s="1018"/>
      <c r="AD128" s="1018"/>
      <c r="AE128" s="1018"/>
    </row>
    <row r="129" spans="1:31">
      <c r="A129" s="1018"/>
      <c r="B129" s="1018"/>
      <c r="C129" s="1018"/>
      <c r="D129" s="1018"/>
      <c r="E129" s="1018"/>
      <c r="F129" s="1018"/>
      <c r="G129" s="1018"/>
      <c r="H129" s="1018"/>
      <c r="I129" s="1018"/>
      <c r="J129" s="1018"/>
      <c r="K129" s="1018"/>
      <c r="L129" s="1018"/>
      <c r="M129" s="1018"/>
      <c r="N129" s="1018"/>
      <c r="O129" s="1018"/>
      <c r="P129" s="1018"/>
      <c r="Q129" s="1018"/>
      <c r="R129" s="1018"/>
      <c r="S129" s="1018"/>
      <c r="T129" s="1018"/>
      <c r="U129" s="1018"/>
      <c r="V129" s="1332"/>
      <c r="W129" s="1018"/>
      <c r="X129" s="1018"/>
      <c r="Y129" s="1018"/>
      <c r="Z129" s="1018"/>
      <c r="AA129" s="1018"/>
      <c r="AB129" s="1018"/>
      <c r="AC129" s="1018"/>
      <c r="AD129" s="1018"/>
      <c r="AE129" s="1018"/>
    </row>
    <row r="130" spans="1:31">
      <c r="A130" s="1018"/>
      <c r="B130" s="1018"/>
      <c r="C130" s="1018"/>
      <c r="D130" s="1018"/>
      <c r="E130" s="1018"/>
      <c r="F130" s="1018"/>
      <c r="G130" s="1018"/>
      <c r="H130" s="1018"/>
      <c r="I130" s="1018"/>
      <c r="J130" s="1018"/>
      <c r="K130" s="1018"/>
      <c r="L130" s="1018"/>
      <c r="M130" s="1018"/>
      <c r="N130" s="1018"/>
      <c r="O130" s="1018"/>
      <c r="P130" s="1018"/>
      <c r="Q130" s="1018"/>
      <c r="R130" s="1018"/>
      <c r="S130" s="1018"/>
      <c r="T130" s="1018"/>
      <c r="U130" s="1018"/>
      <c r="V130" s="1332"/>
      <c r="W130" s="1018"/>
      <c r="X130" s="1018"/>
      <c r="Y130" s="1018"/>
      <c r="Z130" s="1018"/>
      <c r="AA130" s="1018"/>
      <c r="AB130" s="1018"/>
      <c r="AC130" s="1018"/>
      <c r="AD130" s="1018"/>
      <c r="AE130" s="1018"/>
    </row>
    <row r="131" spans="1:31">
      <c r="A131" s="1018"/>
      <c r="B131" s="1018"/>
      <c r="C131" s="1018"/>
      <c r="D131" s="1018"/>
      <c r="E131" s="1018"/>
      <c r="F131" s="1018"/>
      <c r="G131" s="1018"/>
      <c r="H131" s="1018"/>
      <c r="I131" s="1018"/>
      <c r="J131" s="1018"/>
      <c r="K131" s="1018"/>
      <c r="L131" s="1018"/>
      <c r="M131" s="1018"/>
      <c r="N131" s="1018"/>
      <c r="O131" s="1018"/>
      <c r="P131" s="1018"/>
      <c r="Q131" s="1018"/>
      <c r="R131" s="1018"/>
      <c r="S131" s="1018"/>
      <c r="T131" s="1018"/>
      <c r="U131" s="1018"/>
      <c r="V131" s="1332"/>
      <c r="W131" s="1018"/>
      <c r="X131" s="1018"/>
      <c r="Y131" s="1018"/>
      <c r="Z131" s="1018"/>
      <c r="AA131" s="1018"/>
      <c r="AB131" s="1018"/>
      <c r="AC131" s="1018"/>
      <c r="AD131" s="1018"/>
      <c r="AE131" s="1018"/>
    </row>
    <row r="132" spans="1:31">
      <c r="A132" s="1018"/>
      <c r="B132" s="1018"/>
      <c r="C132" s="1018"/>
      <c r="D132" s="1018"/>
      <c r="E132" s="1018"/>
      <c r="F132" s="1018"/>
      <c r="G132" s="1018"/>
      <c r="H132" s="1018"/>
      <c r="I132" s="1018"/>
      <c r="J132" s="1018"/>
      <c r="K132" s="1018"/>
      <c r="L132" s="1018"/>
      <c r="M132" s="1018"/>
      <c r="N132" s="1018"/>
      <c r="O132" s="1018"/>
      <c r="P132" s="1018"/>
      <c r="Q132" s="1018"/>
      <c r="R132" s="1018"/>
      <c r="S132" s="1018"/>
      <c r="T132" s="1018"/>
      <c r="U132" s="1018"/>
      <c r="V132" s="1332"/>
      <c r="W132" s="1018"/>
      <c r="X132" s="1018"/>
      <c r="Y132" s="1018"/>
      <c r="Z132" s="1018"/>
      <c r="AA132" s="1018"/>
      <c r="AB132" s="1018"/>
      <c r="AC132" s="1018"/>
      <c r="AD132" s="1018"/>
      <c r="AE132" s="1018"/>
    </row>
    <row r="133" spans="1:31">
      <c r="A133" s="1018"/>
      <c r="B133" s="1018"/>
      <c r="C133" s="1018"/>
      <c r="D133" s="1018"/>
      <c r="E133" s="1018"/>
      <c r="F133" s="1018"/>
      <c r="G133" s="1018"/>
      <c r="H133" s="1018"/>
      <c r="I133" s="1018"/>
      <c r="J133" s="1018"/>
      <c r="K133" s="1018"/>
      <c r="L133" s="1018"/>
      <c r="M133" s="1018"/>
      <c r="N133" s="1018"/>
      <c r="O133" s="1018"/>
      <c r="P133" s="1018"/>
      <c r="Q133" s="1018"/>
      <c r="R133" s="1018"/>
      <c r="S133" s="1018"/>
      <c r="T133" s="1018"/>
      <c r="U133" s="1018"/>
      <c r="V133" s="1332"/>
      <c r="W133" s="1018"/>
      <c r="X133" s="1018"/>
      <c r="Y133" s="1018"/>
      <c r="Z133" s="1018"/>
      <c r="AA133" s="1018"/>
      <c r="AB133" s="1018"/>
      <c r="AC133" s="1018"/>
      <c r="AD133" s="1018"/>
      <c r="AE133" s="1018"/>
    </row>
    <row r="134" spans="1:31">
      <c r="A134" s="1018"/>
      <c r="B134" s="1018"/>
      <c r="C134" s="1018"/>
      <c r="D134" s="1018"/>
      <c r="E134" s="1018"/>
      <c r="F134" s="1018"/>
      <c r="G134" s="1018"/>
      <c r="H134" s="1018"/>
      <c r="I134" s="1018"/>
      <c r="J134" s="1018"/>
      <c r="K134" s="1017" t="s">
        <v>458</v>
      </c>
      <c r="L134" s="1018"/>
      <c r="M134" s="1018"/>
      <c r="N134" s="1018"/>
      <c r="O134" s="1018"/>
      <c r="P134" s="1018"/>
      <c r="Q134" s="1018"/>
      <c r="R134" s="1018"/>
      <c r="S134" s="1018"/>
      <c r="T134" s="1018"/>
      <c r="U134" s="1018"/>
      <c r="V134" s="1332"/>
      <c r="W134" s="1018"/>
      <c r="X134" s="1018"/>
      <c r="Y134" s="1018"/>
      <c r="Z134" s="1018"/>
      <c r="AA134" s="1018"/>
      <c r="AB134" s="1018"/>
      <c r="AC134" s="1018"/>
      <c r="AD134" s="1018"/>
      <c r="AE134" s="1018"/>
    </row>
    <row r="135" spans="1:31">
      <c r="A135" s="1018"/>
      <c r="B135" s="1018"/>
      <c r="C135" s="1018"/>
      <c r="D135" s="1018"/>
      <c r="E135" s="1018"/>
      <c r="F135" s="1018"/>
      <c r="G135" s="1018"/>
      <c r="H135" s="1018"/>
      <c r="I135" s="1018"/>
      <c r="J135" s="1018"/>
      <c r="K135" s="1017" t="s">
        <v>459</v>
      </c>
      <c r="L135" s="1018"/>
      <c r="M135" s="1018"/>
      <c r="N135" s="1018"/>
      <c r="O135" s="1018"/>
      <c r="P135" s="1018"/>
      <c r="Q135" s="1018"/>
      <c r="R135" s="1018"/>
      <c r="S135" s="1018"/>
      <c r="T135" s="1018"/>
      <c r="U135" s="1018"/>
      <c r="V135" s="1332"/>
      <c r="W135" s="1018"/>
      <c r="X135" s="1018"/>
      <c r="Y135" s="1018"/>
      <c r="Z135" s="1018"/>
      <c r="AA135" s="1018"/>
      <c r="AB135" s="1018"/>
      <c r="AC135" s="1018"/>
      <c r="AD135" s="1018"/>
      <c r="AE135" s="1018"/>
    </row>
    <row r="136" spans="1:31">
      <c r="A136" s="1018"/>
      <c r="B136" s="1018"/>
      <c r="C136" s="1018"/>
      <c r="D136" s="1018"/>
      <c r="E136" s="1018"/>
      <c r="F136" s="1018"/>
      <c r="G136" s="1018"/>
      <c r="H136" s="1018"/>
      <c r="I136" s="1018"/>
      <c r="J136" s="1018"/>
      <c r="K136" s="1018"/>
      <c r="L136" s="1018"/>
      <c r="M136" s="1018"/>
      <c r="N136" s="1018"/>
      <c r="O136" s="1018"/>
      <c r="P136" s="1018"/>
      <c r="Q136" s="1018"/>
      <c r="R136" s="1018"/>
      <c r="S136" s="1018"/>
      <c r="T136" s="1018"/>
      <c r="U136" s="1018"/>
      <c r="V136" s="1332"/>
      <c r="W136" s="1018"/>
      <c r="X136" s="1018"/>
      <c r="Y136" s="1018"/>
      <c r="Z136" s="1018"/>
      <c r="AA136" s="1018"/>
      <c r="AB136" s="1018"/>
      <c r="AC136" s="1018"/>
      <c r="AD136" s="1018"/>
      <c r="AE136" s="1018"/>
    </row>
    <row r="137" spans="1:31">
      <c r="A137" s="1018"/>
      <c r="B137" s="1018"/>
      <c r="C137" s="1018"/>
      <c r="D137" s="1018"/>
      <c r="E137" s="1018"/>
      <c r="F137" s="1018"/>
      <c r="G137" s="1018"/>
      <c r="H137" s="1018"/>
      <c r="I137" s="1018"/>
      <c r="J137" s="1018"/>
      <c r="K137" s="1018"/>
      <c r="L137" s="1018"/>
      <c r="M137" s="1018"/>
      <c r="N137" s="1018"/>
      <c r="O137" s="1018"/>
      <c r="P137" s="1018"/>
      <c r="Q137" s="1018"/>
      <c r="R137" s="1018"/>
      <c r="S137" s="1018"/>
      <c r="T137" s="1018"/>
      <c r="U137" s="1018"/>
      <c r="V137" s="1332"/>
      <c r="W137" s="1018"/>
      <c r="X137" s="1018"/>
      <c r="Y137" s="1018"/>
      <c r="Z137" s="1018"/>
      <c r="AA137" s="1018"/>
      <c r="AB137" s="1018"/>
      <c r="AC137" s="1018"/>
      <c r="AD137" s="1018"/>
      <c r="AE137" s="1018"/>
    </row>
    <row r="138" spans="1:31">
      <c r="A138" s="1018"/>
      <c r="B138" s="1018"/>
      <c r="C138" s="1018"/>
      <c r="D138" s="1018"/>
      <c r="E138" s="1018"/>
      <c r="F138" s="1018"/>
      <c r="G138" s="1018"/>
      <c r="H138" s="1018"/>
      <c r="I138" s="1018"/>
      <c r="J138" s="1018"/>
      <c r="K138" s="1018"/>
      <c r="L138" s="1018"/>
      <c r="M138" s="1018"/>
      <c r="N138" s="1018"/>
      <c r="O138" s="1018"/>
      <c r="P138" s="1018"/>
      <c r="Q138" s="1018"/>
      <c r="R138" s="1018"/>
      <c r="S138" s="1018"/>
      <c r="T138" s="1018"/>
      <c r="U138" s="1018"/>
      <c r="V138" s="1332"/>
      <c r="W138" s="1018"/>
      <c r="X138" s="1018"/>
      <c r="Y138" s="1018"/>
      <c r="Z138" s="1018"/>
      <c r="AA138" s="1018"/>
      <c r="AB138" s="1018"/>
      <c r="AC138" s="1018"/>
      <c r="AD138" s="1018"/>
      <c r="AE138" s="1018"/>
    </row>
    <row r="139" spans="1:31">
      <c r="A139" s="1018"/>
      <c r="B139" s="1018"/>
      <c r="C139" s="1018"/>
      <c r="D139" s="1018"/>
      <c r="E139" s="1018"/>
      <c r="F139" s="1018"/>
      <c r="G139" s="1018"/>
      <c r="H139" s="1018"/>
      <c r="I139" s="1018"/>
      <c r="J139" s="1018"/>
      <c r="K139" s="1018"/>
      <c r="L139" s="1018"/>
      <c r="M139" s="1018"/>
      <c r="N139" s="1018"/>
      <c r="O139" s="1018"/>
      <c r="P139" s="1018"/>
      <c r="Q139" s="1018"/>
      <c r="R139" s="1018"/>
      <c r="S139" s="1018"/>
      <c r="T139" s="1018"/>
      <c r="U139" s="1018"/>
      <c r="V139" s="1332"/>
      <c r="W139" s="1018"/>
      <c r="X139" s="1018"/>
      <c r="Y139" s="1018"/>
      <c r="Z139" s="1018"/>
      <c r="AA139" s="1018"/>
      <c r="AB139" s="1018"/>
      <c r="AC139" s="1018"/>
      <c r="AD139" s="1018"/>
      <c r="AE139" s="1018"/>
    </row>
    <row r="140" spans="1:31">
      <c r="A140" s="1018"/>
      <c r="B140" s="1018"/>
      <c r="C140" s="1018"/>
      <c r="D140" s="1018"/>
      <c r="E140" s="1018"/>
      <c r="F140" s="1018"/>
      <c r="G140" s="1018"/>
      <c r="H140" s="1018"/>
      <c r="I140" s="1018"/>
      <c r="J140" s="1018"/>
      <c r="K140" s="1018"/>
      <c r="L140" s="1018"/>
      <c r="M140" s="1018"/>
      <c r="N140" s="1018"/>
      <c r="O140" s="1018"/>
      <c r="P140" s="1018"/>
      <c r="Q140" s="1018"/>
      <c r="R140" s="1018"/>
      <c r="S140" s="1018"/>
      <c r="T140" s="1018"/>
      <c r="U140" s="1018"/>
      <c r="V140" s="1332"/>
      <c r="W140" s="1018"/>
      <c r="X140" s="1018"/>
      <c r="Y140" s="1018"/>
      <c r="Z140" s="1018"/>
      <c r="AA140" s="1018"/>
      <c r="AB140" s="1018"/>
      <c r="AC140" s="1018"/>
      <c r="AD140" s="1018"/>
      <c r="AE140" s="1018"/>
    </row>
    <row r="141" spans="1:31">
      <c r="A141" s="1018"/>
      <c r="B141" s="1018"/>
      <c r="C141" s="1018"/>
      <c r="D141" s="1018"/>
      <c r="E141" s="1018"/>
      <c r="F141" s="1018"/>
      <c r="G141" s="1018"/>
      <c r="H141" s="1018"/>
      <c r="I141" s="1018"/>
      <c r="J141" s="1018"/>
      <c r="K141" s="1018"/>
      <c r="L141" s="1018"/>
      <c r="M141" s="1018"/>
      <c r="N141" s="1018"/>
      <c r="O141" s="1018"/>
      <c r="P141" s="1018"/>
      <c r="Q141" s="1018"/>
      <c r="R141" s="1018"/>
      <c r="S141" s="1018"/>
      <c r="T141" s="1018"/>
      <c r="U141" s="1018"/>
      <c r="V141" s="1332"/>
      <c r="W141" s="1018"/>
      <c r="X141" s="1018"/>
      <c r="Y141" s="1018"/>
      <c r="Z141" s="1018"/>
      <c r="AA141" s="1018"/>
      <c r="AB141" s="1018"/>
      <c r="AC141" s="1018"/>
      <c r="AD141" s="1018"/>
      <c r="AE141" s="1018"/>
    </row>
    <row r="142" spans="1:31">
      <c r="A142" s="1018"/>
      <c r="B142" s="1018"/>
      <c r="C142" s="1018"/>
      <c r="D142" s="1018"/>
      <c r="E142" s="1018"/>
      <c r="F142" s="1018"/>
      <c r="G142" s="1018"/>
      <c r="H142" s="1018"/>
      <c r="I142" s="1018"/>
      <c r="J142" s="1018"/>
      <c r="K142" s="1018"/>
      <c r="L142" s="1018"/>
      <c r="M142" s="1018"/>
      <c r="N142" s="1018"/>
      <c r="O142" s="1018"/>
      <c r="P142" s="1018"/>
      <c r="Q142" s="1018"/>
      <c r="R142" s="1018"/>
      <c r="S142" s="1018"/>
      <c r="T142" s="1018"/>
      <c r="U142" s="1018"/>
      <c r="V142" s="1332"/>
      <c r="W142" s="1018"/>
      <c r="X142" s="1018"/>
      <c r="Y142" s="1018"/>
      <c r="Z142" s="1018"/>
      <c r="AA142" s="1018"/>
      <c r="AB142" s="1018"/>
      <c r="AC142" s="1018"/>
      <c r="AD142" s="1018"/>
      <c r="AE142" s="1018"/>
    </row>
    <row r="143" spans="1:31">
      <c r="A143" s="1018"/>
      <c r="B143" s="1018"/>
      <c r="C143" s="1018"/>
      <c r="D143" s="1018"/>
      <c r="E143" s="1018"/>
      <c r="F143" s="1018"/>
      <c r="G143" s="1018"/>
      <c r="H143" s="1018"/>
      <c r="I143" s="1018"/>
      <c r="J143" s="1018"/>
      <c r="K143" s="1018"/>
      <c r="L143" s="1018"/>
      <c r="M143" s="1018"/>
      <c r="N143" s="1018"/>
      <c r="O143" s="1018"/>
      <c r="P143" s="1018"/>
      <c r="Q143" s="1018"/>
      <c r="R143" s="1018"/>
      <c r="S143" s="1018"/>
      <c r="T143" s="1018"/>
      <c r="U143" s="1018"/>
      <c r="V143" s="1332"/>
      <c r="W143" s="1018"/>
      <c r="X143" s="1018"/>
      <c r="Y143" s="1018"/>
      <c r="Z143" s="1018"/>
      <c r="AA143" s="1018"/>
      <c r="AB143" s="1018"/>
      <c r="AC143" s="1018"/>
      <c r="AD143" s="1018"/>
      <c r="AE143" s="1018"/>
    </row>
    <row r="144" spans="1:31">
      <c r="A144" s="1018"/>
      <c r="B144" s="1018"/>
      <c r="C144" s="1018"/>
      <c r="D144" s="1018"/>
      <c r="E144" s="1018"/>
      <c r="F144" s="1018"/>
      <c r="G144" s="1018"/>
      <c r="H144" s="1018"/>
      <c r="I144" s="1018"/>
      <c r="J144" s="1018"/>
      <c r="K144" s="1018"/>
      <c r="L144" s="1018"/>
      <c r="M144" s="1018"/>
      <c r="N144" s="1018"/>
      <c r="O144" s="1018"/>
      <c r="P144" s="1018"/>
      <c r="Q144" s="1018"/>
      <c r="R144" s="1018"/>
      <c r="S144" s="1018"/>
      <c r="T144" s="1018"/>
      <c r="U144" s="1018"/>
      <c r="V144" s="1332"/>
      <c r="W144" s="1018"/>
      <c r="X144" s="1018"/>
      <c r="Y144" s="1018"/>
      <c r="Z144" s="1018"/>
      <c r="AA144" s="1018"/>
      <c r="AB144" s="1018"/>
      <c r="AC144" s="1018"/>
      <c r="AD144" s="1018"/>
      <c r="AE144" s="1018"/>
    </row>
    <row r="145" spans="1:31">
      <c r="A145" s="1018"/>
      <c r="B145" s="1018"/>
      <c r="C145" s="1018"/>
      <c r="D145" s="1018"/>
      <c r="E145" s="1018"/>
      <c r="F145" s="1018"/>
      <c r="G145" s="1018"/>
      <c r="H145" s="1018"/>
      <c r="I145" s="1018"/>
      <c r="J145" s="1018"/>
      <c r="K145" s="1018"/>
      <c r="L145" s="1018"/>
      <c r="M145" s="1018"/>
      <c r="N145" s="1018"/>
      <c r="O145" s="1018"/>
      <c r="P145" s="1018"/>
      <c r="Q145" s="1018"/>
      <c r="R145" s="1018"/>
      <c r="S145" s="1018"/>
      <c r="T145" s="1018"/>
      <c r="U145" s="1018"/>
      <c r="V145" s="1332"/>
      <c r="W145" s="1018"/>
      <c r="X145" s="1018"/>
      <c r="Y145" s="1018"/>
      <c r="Z145" s="1018"/>
      <c r="AA145" s="1018"/>
      <c r="AB145" s="1018"/>
      <c r="AC145" s="1018"/>
      <c r="AD145" s="1018"/>
      <c r="AE145" s="1018"/>
    </row>
    <row r="146" spans="1:31">
      <c r="A146" s="1018"/>
      <c r="B146" s="1018"/>
      <c r="C146" s="1018"/>
      <c r="D146" s="1018"/>
      <c r="E146" s="1018"/>
      <c r="F146" s="1018"/>
      <c r="G146" s="1018"/>
      <c r="H146" s="1018"/>
      <c r="I146" s="1018"/>
      <c r="J146" s="1018"/>
      <c r="K146" s="1018"/>
      <c r="L146" s="1018"/>
      <c r="M146" s="1018"/>
      <c r="N146" s="1018"/>
      <c r="O146" s="1018"/>
      <c r="P146" s="1018"/>
      <c r="Q146" s="1018"/>
      <c r="R146" s="1018"/>
      <c r="S146" s="1018"/>
      <c r="T146" s="1018"/>
      <c r="U146" s="1018"/>
      <c r="V146" s="1332"/>
      <c r="W146" s="1018"/>
      <c r="X146" s="1018"/>
      <c r="Y146" s="1018"/>
      <c r="Z146" s="1018"/>
      <c r="AA146" s="1018"/>
      <c r="AB146" s="1018"/>
      <c r="AC146" s="1018"/>
      <c r="AD146" s="1018"/>
      <c r="AE146" s="1018"/>
    </row>
    <row r="147" spans="1:31">
      <c r="A147" s="1018"/>
      <c r="B147" s="1018"/>
      <c r="C147" s="1018"/>
      <c r="D147" s="1018"/>
      <c r="E147" s="1018"/>
      <c r="F147" s="1018"/>
      <c r="G147" s="1018"/>
      <c r="H147" s="1018"/>
      <c r="I147" s="1018"/>
      <c r="J147" s="1018"/>
      <c r="K147" s="1018"/>
      <c r="L147" s="1018"/>
      <c r="M147" s="1018"/>
      <c r="N147" s="1018"/>
      <c r="O147" s="1018"/>
      <c r="P147" s="1018"/>
      <c r="Q147" s="1018"/>
      <c r="R147" s="1018"/>
      <c r="S147" s="1018"/>
      <c r="T147" s="1018"/>
      <c r="U147" s="1018"/>
      <c r="V147" s="1332"/>
      <c r="W147" s="1018"/>
      <c r="X147" s="1018"/>
      <c r="Y147" s="1018"/>
      <c r="Z147" s="1018"/>
      <c r="AA147" s="1018"/>
      <c r="AB147" s="1018"/>
      <c r="AC147" s="1018"/>
      <c r="AD147" s="1018"/>
      <c r="AE147" s="1018"/>
    </row>
    <row r="148" spans="1:31">
      <c r="A148" s="1018"/>
      <c r="B148" s="1018"/>
      <c r="C148" s="1018"/>
      <c r="D148" s="1018"/>
      <c r="E148" s="1018"/>
      <c r="F148" s="1018"/>
      <c r="G148" s="1018"/>
      <c r="H148" s="1018"/>
      <c r="I148" s="1018"/>
      <c r="J148" s="1018"/>
      <c r="K148" s="1018"/>
      <c r="L148" s="1018"/>
      <c r="M148" s="1018"/>
      <c r="N148" s="1018"/>
      <c r="O148" s="1018"/>
      <c r="P148" s="1018"/>
      <c r="Q148" s="1018"/>
      <c r="R148" s="1018"/>
      <c r="S148" s="1018"/>
      <c r="T148" s="1018"/>
      <c r="U148" s="1018"/>
      <c r="V148" s="1332"/>
      <c r="W148" s="1018"/>
      <c r="X148" s="1018"/>
      <c r="Y148" s="1018"/>
      <c r="Z148" s="1018"/>
      <c r="AA148" s="1018"/>
      <c r="AB148" s="1018"/>
      <c r="AC148" s="1018"/>
      <c r="AD148" s="1018"/>
      <c r="AE148" s="1018"/>
    </row>
    <row r="149" spans="1:31">
      <c r="A149" s="1021" t="s">
        <v>512</v>
      </c>
      <c r="B149" s="1023"/>
      <c r="C149" s="613" t="s">
        <v>428</v>
      </c>
      <c r="D149" s="1018"/>
      <c r="E149" s="1018"/>
      <c r="F149" s="1018"/>
      <c r="G149" s="1018"/>
      <c r="H149" s="1018"/>
      <c r="I149" s="1018"/>
      <c r="J149" s="1018"/>
      <c r="K149" s="1018"/>
      <c r="L149" s="1018"/>
      <c r="M149" s="1018"/>
      <c r="N149" s="1018"/>
      <c r="O149" s="1018"/>
      <c r="P149" s="1018"/>
      <c r="Q149" s="1018"/>
      <c r="R149" s="1018"/>
      <c r="S149" s="1018"/>
      <c r="T149" s="1018"/>
      <c r="U149" s="1018"/>
      <c r="V149" s="1332"/>
      <c r="W149" s="1018"/>
      <c r="X149" s="1018"/>
      <c r="Y149" s="1018"/>
      <c r="Z149" s="1018"/>
      <c r="AA149" s="1018"/>
      <c r="AB149" s="1018"/>
      <c r="AC149" s="1018"/>
      <c r="AD149" s="1018"/>
      <c r="AE149" s="1018"/>
    </row>
    <row r="150" spans="1:31">
      <c r="A150" s="1018"/>
      <c r="B150" s="1018"/>
      <c r="C150" s="1018"/>
      <c r="D150" s="1018"/>
      <c r="E150" s="1018"/>
      <c r="F150" s="1018"/>
      <c r="G150" s="1018"/>
      <c r="H150" s="1018"/>
      <c r="I150" s="1018"/>
      <c r="J150" s="1018"/>
      <c r="K150" s="1018"/>
      <c r="L150" s="1018"/>
      <c r="M150" s="1018"/>
      <c r="N150" s="1018"/>
      <c r="O150" s="1018"/>
      <c r="P150" s="1018"/>
      <c r="Q150" s="1018"/>
      <c r="R150" s="1018"/>
      <c r="S150" s="1018"/>
      <c r="T150" s="1018"/>
      <c r="U150" s="1018"/>
      <c r="V150" s="1332"/>
      <c r="W150" s="1018"/>
      <c r="X150" s="1018"/>
      <c r="Y150" s="1018"/>
      <c r="Z150" s="1018"/>
      <c r="AA150" s="1018"/>
      <c r="AB150" s="1018"/>
      <c r="AC150" s="1018"/>
      <c r="AD150" s="1018"/>
      <c r="AE150" s="1018"/>
    </row>
    <row r="151" spans="1:31">
      <c r="A151" s="1018"/>
      <c r="B151" s="1018"/>
      <c r="C151" s="1018"/>
      <c r="D151" s="1018"/>
      <c r="E151" s="1018"/>
      <c r="F151" s="1018"/>
      <c r="G151" s="1018"/>
      <c r="H151" s="1018"/>
      <c r="I151" s="1018"/>
      <c r="J151" s="1018"/>
      <c r="K151" s="1018"/>
      <c r="L151" s="1018"/>
      <c r="M151" s="1018"/>
      <c r="N151" s="1018"/>
      <c r="O151" s="1018"/>
      <c r="P151" s="1018"/>
      <c r="Q151" s="1018"/>
      <c r="R151" s="1018"/>
      <c r="S151" s="1018"/>
      <c r="T151" s="1018"/>
      <c r="U151" s="1018"/>
      <c r="V151" s="1332"/>
      <c r="W151" s="1018"/>
      <c r="X151" s="1018"/>
      <c r="Y151" s="1018"/>
      <c r="Z151" s="1018"/>
      <c r="AA151" s="1018"/>
      <c r="AB151" s="1018"/>
      <c r="AC151" s="1018"/>
      <c r="AD151" s="1018"/>
      <c r="AE151" s="1018"/>
    </row>
    <row r="152" spans="1:31">
      <c r="A152" s="1018"/>
      <c r="B152" s="1018"/>
      <c r="C152" s="1018"/>
      <c r="D152" s="1018"/>
      <c r="E152" s="1018"/>
      <c r="F152" s="1018"/>
      <c r="G152" s="1018"/>
      <c r="H152" s="1018"/>
      <c r="I152" s="1018"/>
      <c r="J152" s="1018"/>
      <c r="Q152" s="1018"/>
      <c r="R152" s="1018"/>
      <c r="S152" s="1018"/>
      <c r="T152" s="1018"/>
      <c r="U152" s="1018"/>
      <c r="V152" s="1332"/>
      <c r="W152" s="1018"/>
      <c r="X152" s="1018"/>
      <c r="Y152" s="1018"/>
      <c r="Z152" s="1018"/>
      <c r="AA152" s="1018"/>
      <c r="AB152" s="1018"/>
      <c r="AC152" s="1018"/>
      <c r="AD152" s="1018"/>
      <c r="AE152" s="1018"/>
    </row>
    <row r="153" spans="1:31">
      <c r="A153" s="1018"/>
      <c r="B153" s="1018"/>
      <c r="C153" s="1018"/>
      <c r="D153" s="1018"/>
      <c r="E153" s="1018"/>
      <c r="F153" s="1018"/>
      <c r="G153" s="1018"/>
      <c r="H153" s="1018"/>
      <c r="I153" s="1018"/>
      <c r="J153" s="1018"/>
      <c r="Q153" s="1018"/>
      <c r="R153" s="1018"/>
      <c r="S153" s="1018"/>
      <c r="T153" s="1018"/>
      <c r="U153" s="1018"/>
      <c r="V153" s="1332"/>
      <c r="W153" s="1018"/>
      <c r="X153" s="1018"/>
      <c r="Y153" s="1018"/>
      <c r="Z153" s="1018"/>
      <c r="AA153" s="1018"/>
      <c r="AB153" s="1018"/>
      <c r="AC153" s="1018"/>
      <c r="AD153" s="1018"/>
      <c r="AE153" s="1018"/>
    </row>
    <row r="154" spans="1:31">
      <c r="A154" s="1018"/>
      <c r="B154" s="1018"/>
      <c r="C154" s="1018"/>
      <c r="D154" s="1018"/>
      <c r="E154" s="1018"/>
      <c r="F154" s="1018"/>
      <c r="G154" s="1018"/>
      <c r="H154" s="1018"/>
      <c r="I154" s="1018"/>
      <c r="J154" s="1018"/>
      <c r="K154" s="1018"/>
      <c r="L154" s="1018"/>
      <c r="M154" s="1018"/>
      <c r="N154" s="1018"/>
      <c r="O154" s="1018"/>
      <c r="P154" s="1018"/>
      <c r="Q154" s="1018"/>
      <c r="R154" s="1018"/>
      <c r="S154" s="1018"/>
      <c r="T154" s="1018"/>
      <c r="U154" s="1018"/>
      <c r="V154" s="1332"/>
      <c r="W154" s="1018"/>
      <c r="X154" s="1018"/>
      <c r="Y154" s="1018"/>
      <c r="Z154" s="1018"/>
      <c r="AA154" s="1018"/>
      <c r="AB154" s="1018"/>
      <c r="AC154" s="1018"/>
      <c r="AD154" s="1018"/>
      <c r="AE154" s="1018"/>
    </row>
    <row r="155" spans="1:31">
      <c r="A155" s="1018"/>
      <c r="B155" s="1018"/>
      <c r="C155" s="1018"/>
      <c r="D155" s="1018"/>
      <c r="E155" s="1018"/>
      <c r="F155" s="1018"/>
      <c r="G155" s="1018"/>
      <c r="H155" s="1018"/>
      <c r="I155" s="1018"/>
      <c r="J155" s="1018"/>
      <c r="K155" s="1018"/>
      <c r="L155" s="1018"/>
      <c r="M155" s="1018"/>
      <c r="N155" s="1018"/>
      <c r="O155" s="1018"/>
      <c r="P155" s="1018"/>
      <c r="Q155" s="1018"/>
      <c r="R155" s="1018"/>
      <c r="S155" s="1018"/>
      <c r="T155" s="1018"/>
      <c r="U155" s="1018"/>
      <c r="V155" s="1332"/>
      <c r="W155" s="1018"/>
      <c r="X155" s="1018"/>
      <c r="Y155" s="1018"/>
      <c r="Z155" s="1018"/>
      <c r="AA155" s="1018"/>
      <c r="AB155" s="1018"/>
      <c r="AC155" s="1018"/>
      <c r="AD155" s="1018"/>
      <c r="AE155" s="1018"/>
    </row>
    <row r="156" spans="1:31">
      <c r="A156" s="1018"/>
      <c r="B156" s="1018"/>
      <c r="C156" s="1018"/>
      <c r="D156" s="1018"/>
      <c r="E156" s="1018"/>
      <c r="F156" s="1018"/>
      <c r="G156" s="1018"/>
      <c r="H156" s="1018"/>
      <c r="I156" s="1018"/>
      <c r="J156" s="1018"/>
      <c r="K156" s="1018"/>
      <c r="L156" s="1018"/>
      <c r="M156" s="1018"/>
      <c r="N156" s="1018"/>
      <c r="O156" s="1018"/>
      <c r="P156" s="1018"/>
      <c r="Q156" s="1018"/>
      <c r="R156" s="1018"/>
      <c r="S156" s="1018"/>
      <c r="T156" s="1018"/>
      <c r="U156" s="1018"/>
      <c r="V156" s="1332"/>
      <c r="W156" s="1018"/>
      <c r="X156" s="1018"/>
      <c r="Y156" s="1018"/>
      <c r="Z156" s="1018"/>
      <c r="AA156" s="1018"/>
      <c r="AB156" s="1018"/>
      <c r="AC156" s="1018"/>
      <c r="AD156" s="1018"/>
      <c r="AE156" s="1018"/>
    </row>
    <row r="157" spans="1:31">
      <c r="A157" s="1018"/>
      <c r="B157" s="1018"/>
      <c r="C157" s="1018"/>
      <c r="D157" s="1018"/>
      <c r="E157" s="1018"/>
      <c r="F157" s="1018"/>
      <c r="G157" s="1018"/>
      <c r="H157" s="1018"/>
      <c r="I157" s="1018"/>
      <c r="J157" s="1018"/>
      <c r="L157" s="576"/>
      <c r="M157" s="576"/>
      <c r="N157" s="610"/>
      <c r="O157" s="576"/>
      <c r="Q157" s="1018"/>
      <c r="R157" s="1018"/>
      <c r="S157" s="1018"/>
      <c r="T157" s="1018"/>
      <c r="U157" s="1018"/>
      <c r="V157" s="1332"/>
      <c r="W157" s="1018"/>
      <c r="X157" s="1018"/>
      <c r="Y157" s="1018"/>
      <c r="Z157" s="1018"/>
      <c r="AA157" s="1018"/>
      <c r="AB157" s="1018"/>
      <c r="AC157" s="1018"/>
      <c r="AD157" s="1018"/>
      <c r="AE157" s="1018"/>
    </row>
    <row r="158" spans="1:31">
      <c r="A158" s="1018"/>
      <c r="B158" s="1018"/>
      <c r="C158" s="1018"/>
      <c r="D158" s="1018"/>
      <c r="E158" s="1018"/>
      <c r="F158" s="1018"/>
      <c r="G158" s="1018"/>
      <c r="H158" s="1018"/>
      <c r="I158" s="1018"/>
      <c r="J158" s="1018"/>
      <c r="L158" s="610"/>
      <c r="M158" s="610"/>
      <c r="O158" s="576"/>
      <c r="P158" s="610"/>
      <c r="Q158" s="1018"/>
      <c r="R158" s="1018"/>
      <c r="S158" s="1018"/>
      <c r="T158" s="1018"/>
      <c r="U158" s="1018"/>
      <c r="V158" s="1332"/>
      <c r="W158" s="1018"/>
      <c r="X158" s="1018"/>
      <c r="Y158" s="1018"/>
      <c r="Z158" s="1018"/>
      <c r="AA158" s="1018"/>
      <c r="AB158" s="1018"/>
      <c r="AC158" s="1018"/>
      <c r="AD158" s="1018"/>
      <c r="AE158" s="1018"/>
    </row>
    <row r="159" spans="1:31">
      <c r="A159" s="1018"/>
      <c r="B159" s="1018"/>
      <c r="C159" s="1018"/>
      <c r="D159" s="1018"/>
      <c r="E159" s="1018"/>
      <c r="F159" s="1018"/>
      <c r="G159" s="1018"/>
      <c r="H159" s="1018"/>
      <c r="I159" s="1018"/>
      <c r="J159" s="1018"/>
      <c r="K159" s="1018"/>
      <c r="L159" s="1018"/>
      <c r="M159" s="1018"/>
      <c r="N159" s="1018"/>
      <c r="O159" s="1018"/>
      <c r="P159" s="1018"/>
      <c r="Q159" s="1018"/>
      <c r="R159" s="1018"/>
      <c r="S159" s="1018"/>
      <c r="T159" s="1018"/>
      <c r="U159" s="1018"/>
      <c r="V159" s="1332"/>
      <c r="W159" s="1018"/>
      <c r="X159" s="1018"/>
      <c r="Y159" s="1018"/>
      <c r="Z159" s="1018"/>
      <c r="AA159" s="1018"/>
      <c r="AB159" s="1018"/>
      <c r="AC159" s="1018"/>
      <c r="AD159" s="1018"/>
      <c r="AE159" s="1018"/>
    </row>
    <row r="160" spans="1:31">
      <c r="A160" s="1018"/>
      <c r="B160" s="1018"/>
      <c r="C160" s="1018"/>
      <c r="D160" s="1018"/>
      <c r="E160" s="1018"/>
      <c r="F160" s="1018"/>
      <c r="G160" s="1018"/>
      <c r="H160" s="1018"/>
      <c r="I160" s="1018"/>
      <c r="J160" s="1018"/>
      <c r="K160" s="1227" t="s">
        <v>529</v>
      </c>
      <c r="L160" s="1018"/>
      <c r="M160" s="1018"/>
      <c r="N160" s="1018"/>
      <c r="O160" s="1018"/>
      <c r="P160" s="1018"/>
      <c r="Q160" s="1018"/>
      <c r="R160" s="1018"/>
      <c r="S160" s="1018"/>
      <c r="T160" s="1018"/>
      <c r="U160" s="1018"/>
      <c r="V160" s="1332"/>
      <c r="W160" s="1018"/>
      <c r="X160" s="1018"/>
      <c r="Y160" s="1018"/>
      <c r="Z160" s="1018"/>
      <c r="AA160" s="1018"/>
      <c r="AB160" s="1018"/>
      <c r="AC160" s="1018"/>
      <c r="AD160" s="1018"/>
      <c r="AE160" s="1018"/>
    </row>
    <row r="161" spans="1:27">
      <c r="K161" s="576" t="s">
        <v>457</v>
      </c>
      <c r="L161" s="1018"/>
      <c r="M161" s="1018"/>
      <c r="N161" s="1018"/>
      <c r="O161" s="1018"/>
      <c r="P161" s="1018"/>
      <c r="Q161" s="1018"/>
      <c r="R161" s="1018"/>
      <c r="S161" s="1018"/>
      <c r="T161" s="1018"/>
      <c r="U161" s="1018"/>
      <c r="V161" s="1332"/>
      <c r="W161" s="1018"/>
      <c r="X161" s="1018"/>
      <c r="Y161" s="1018"/>
      <c r="Z161" s="1018"/>
      <c r="AA161" s="1018"/>
    </row>
    <row r="162" spans="1:27">
      <c r="L162" s="1018"/>
      <c r="M162" s="1018"/>
      <c r="N162" s="1018"/>
      <c r="O162" s="1018"/>
      <c r="P162" s="1018"/>
      <c r="Q162" s="1018"/>
      <c r="R162" s="1018"/>
      <c r="S162" s="1018"/>
      <c r="T162" s="1018"/>
      <c r="U162" s="1018"/>
      <c r="V162" s="1332"/>
      <c r="W162" s="1018"/>
      <c r="X162" s="1018"/>
      <c r="Y162" s="1018"/>
      <c r="Z162" s="1018"/>
      <c r="AA162" s="1018"/>
    </row>
    <row r="163" spans="1:27">
      <c r="L163" s="1018"/>
      <c r="M163" s="1018"/>
      <c r="N163" s="1018"/>
      <c r="O163" s="1018"/>
      <c r="P163" s="1018"/>
      <c r="Q163" s="1018"/>
      <c r="R163" s="1018"/>
      <c r="S163" s="1018"/>
      <c r="T163" s="1018"/>
      <c r="U163" s="1018"/>
      <c r="V163" s="1332"/>
      <c r="W163" s="1018"/>
      <c r="X163" s="1018"/>
      <c r="Y163" s="1018"/>
      <c r="Z163" s="1018"/>
      <c r="AA163" s="1018"/>
    </row>
    <row r="164" spans="1:27">
      <c r="L164" s="1018"/>
      <c r="M164" s="1018"/>
      <c r="N164" s="1018"/>
      <c r="O164" s="1018"/>
      <c r="P164" s="1018"/>
      <c r="Q164" s="1018"/>
      <c r="R164" s="1018"/>
      <c r="S164" s="1018"/>
      <c r="T164" s="1018"/>
      <c r="U164" s="1018"/>
      <c r="V164" s="1332"/>
      <c r="W164" s="1018"/>
      <c r="X164" s="1018"/>
      <c r="Y164" s="1018"/>
      <c r="Z164" s="1018"/>
      <c r="AA164" s="1018"/>
    </row>
    <row r="165" spans="1:27" s="1170" customFormat="1">
      <c r="A165" s="631" t="s">
        <v>418</v>
      </c>
      <c r="L165" s="1329"/>
      <c r="M165" s="1329"/>
      <c r="N165" s="1329"/>
      <c r="O165" s="1329"/>
      <c r="P165" s="1329"/>
      <c r="Q165" s="1329"/>
      <c r="R165" s="1329"/>
      <c r="S165" s="1329"/>
      <c r="T165" s="1329"/>
      <c r="U165" s="1329"/>
      <c r="V165" s="1333"/>
      <c r="W165" s="1329"/>
      <c r="X165" s="1329"/>
      <c r="Y165" s="1329"/>
      <c r="Z165" s="1329"/>
      <c r="AA165" s="1329"/>
    </row>
    <row r="166" spans="1:27">
      <c r="L166" s="1018"/>
      <c r="M166" s="1018"/>
      <c r="N166" s="1018"/>
      <c r="O166" s="1018"/>
      <c r="P166" s="1018"/>
      <c r="Q166" s="1018"/>
      <c r="R166" s="1018"/>
      <c r="S166" s="1018"/>
      <c r="T166" s="1018"/>
      <c r="U166" s="1018"/>
      <c r="V166" s="1332"/>
      <c r="W166" s="1018"/>
      <c r="X166" s="1018"/>
      <c r="Y166" s="1018"/>
      <c r="Z166" s="1018"/>
      <c r="AA166" s="1018"/>
    </row>
    <row r="167" spans="1:27">
      <c r="L167" s="1018"/>
      <c r="M167" s="1018"/>
      <c r="N167" s="1018"/>
      <c r="O167" s="1018"/>
      <c r="P167" s="1018"/>
      <c r="Q167" s="1018"/>
      <c r="R167" s="1018"/>
      <c r="S167" s="1018"/>
      <c r="T167" s="1018"/>
      <c r="U167" s="1018"/>
      <c r="V167" s="1332"/>
      <c r="W167" s="1018"/>
      <c r="X167" s="1018"/>
      <c r="Y167" s="1018"/>
      <c r="Z167" s="1018"/>
      <c r="AA167" s="1018"/>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FFC000"/>
  </sheetPr>
  <dimension ref="A1:AL127"/>
  <sheetViews>
    <sheetView showGridLines="0" topLeftCell="B1" zoomScale="90" zoomScaleNormal="90" workbookViewId="0">
      <pane xSplit="2" ySplit="1" topLeftCell="D2" activePane="bottomRight" state="frozen"/>
      <selection activeCell="B1" sqref="B1"/>
      <selection pane="topRight" activeCell="D1" sqref="D1"/>
      <selection pane="bottomLeft" activeCell="B2" sqref="B2"/>
      <selection pane="bottomRight" activeCell="B127" sqref="B127"/>
    </sheetView>
  </sheetViews>
  <sheetFormatPr baseColWidth="10" defaultRowHeight="13.2"/>
  <cols>
    <col min="1" max="1" width="22.109375" style="222" bestFit="1" customWidth="1"/>
    <col min="2" max="2" width="24.5546875" style="128" bestFit="1" customWidth="1"/>
    <col min="3" max="3" width="5.77734375" style="128" bestFit="1" customWidth="1"/>
    <col min="4" max="4" width="7.21875" style="892" customWidth="1"/>
    <col min="5" max="6" width="7.21875" style="67" customWidth="1"/>
    <col min="7" max="7" width="7.21875" style="893" customWidth="1"/>
    <col min="8" max="9" width="7.21875" style="67" customWidth="1"/>
    <col min="10" max="10" width="7.21875" style="893" customWidth="1"/>
    <col min="11" max="12" width="7.21875" style="67" customWidth="1"/>
    <col min="13" max="13" width="7.21875" style="893" customWidth="1"/>
    <col min="14" max="15" width="7.21875" style="67" customWidth="1"/>
    <col min="16" max="16" width="8" style="893" customWidth="1"/>
    <col min="17" max="18" width="7.21875" style="67" customWidth="1"/>
    <col min="19" max="19" width="2" style="111" customWidth="1"/>
    <col min="20" max="20" width="6.44140625" style="47" hidden="1" customWidth="1"/>
    <col min="21" max="21" width="10.109375" style="47" hidden="1" customWidth="1"/>
    <col min="22" max="22" width="8.88671875" style="47" hidden="1" customWidth="1"/>
    <col min="23" max="23" width="9.21875" style="69" hidden="1" customWidth="1"/>
    <col min="24" max="24" width="8.5546875" style="69" hidden="1" customWidth="1"/>
    <col min="25" max="25" width="7.77734375" style="47" hidden="1" customWidth="1"/>
    <col min="26" max="26" width="14.88671875" style="47" hidden="1" customWidth="1"/>
    <col min="27" max="27" width="4.44140625" style="47" customWidth="1"/>
    <col min="28" max="28" width="7" style="47" customWidth="1"/>
    <col min="29" max="30" width="10.44140625" style="47" customWidth="1"/>
    <col min="31" max="31" width="7" style="47" customWidth="1"/>
    <col min="32" max="32" width="13.77734375" style="47" bestFit="1" customWidth="1"/>
    <col min="33" max="33" width="6.6640625" style="67" customWidth="1"/>
    <col min="34" max="34" width="10.6640625" style="893" customWidth="1"/>
    <col min="35" max="35" width="10" style="893" customWidth="1"/>
    <col min="36" max="36" width="7" style="893" customWidth="1"/>
    <col min="37" max="37" width="4.44140625" style="893" customWidth="1"/>
    <col min="38" max="38" width="11.5546875" style="351"/>
    <col min="39" max="16384" width="11.5546875" style="48"/>
  </cols>
  <sheetData>
    <row r="1" spans="1:38" s="26" customFormat="1">
      <c r="A1" s="220"/>
      <c r="B1" s="1323" t="s">
        <v>460</v>
      </c>
      <c r="C1" s="1324"/>
      <c r="D1" s="345"/>
      <c r="E1" s="917" t="s">
        <v>135</v>
      </c>
      <c r="F1" s="918" t="s">
        <v>136</v>
      </c>
      <c r="G1" s="1120"/>
      <c r="H1" s="917" t="s">
        <v>135</v>
      </c>
      <c r="I1" s="918" t="s">
        <v>136</v>
      </c>
      <c r="J1" s="1120"/>
      <c r="K1" s="917" t="s">
        <v>135</v>
      </c>
      <c r="L1" s="918" t="s">
        <v>136</v>
      </c>
      <c r="M1" s="1121"/>
      <c r="N1" s="917" t="s">
        <v>135</v>
      </c>
      <c r="O1" s="918" t="s">
        <v>136</v>
      </c>
      <c r="P1" s="1120"/>
      <c r="Q1" s="917" t="s">
        <v>135</v>
      </c>
      <c r="R1" s="918" t="s">
        <v>136</v>
      </c>
      <c r="S1" s="930"/>
      <c r="T1" s="30"/>
      <c r="U1" s="455" t="s">
        <v>177</v>
      </c>
      <c r="V1" s="132" t="s">
        <v>352</v>
      </c>
      <c r="W1" s="27"/>
      <c r="X1" s="132"/>
      <c r="Y1" s="132"/>
      <c r="Z1" s="30"/>
      <c r="AA1" s="30"/>
      <c r="AB1" s="1132"/>
      <c r="AC1" s="1325" t="s">
        <v>462</v>
      </c>
      <c r="AD1" s="1325"/>
      <c r="AE1" s="1133"/>
      <c r="AF1" s="30"/>
      <c r="AG1" s="1125"/>
      <c r="AH1" s="1300" t="s">
        <v>461</v>
      </c>
      <c r="AI1" s="1300"/>
      <c r="AJ1" s="1126"/>
      <c r="AK1" s="545"/>
      <c r="AL1" s="639" t="s">
        <v>418</v>
      </c>
    </row>
    <row r="2" spans="1:38" s="39" customFormat="1">
      <c r="A2" s="221"/>
      <c r="B2" s="989" t="s">
        <v>151</v>
      </c>
      <c r="C2" s="990"/>
      <c r="D2" s="42" t="s">
        <v>159</v>
      </c>
      <c r="E2" s="257" t="str">
        <f>D2</f>
        <v>10Y</v>
      </c>
      <c r="F2" s="257" t="str">
        <f>D2</f>
        <v>10Y</v>
      </c>
      <c r="G2" s="42" t="str">
        <f>J2</f>
        <v>10Y</v>
      </c>
      <c r="H2" s="257" t="str">
        <f>G2</f>
        <v>10Y</v>
      </c>
      <c r="I2" s="257" t="str">
        <f>G2</f>
        <v>10Y</v>
      </c>
      <c r="J2" s="129" t="s">
        <v>159</v>
      </c>
      <c r="K2" s="257" t="str">
        <f>J2</f>
        <v>10Y</v>
      </c>
      <c r="L2" s="257" t="str">
        <f>J2</f>
        <v>10Y</v>
      </c>
      <c r="M2" s="42" t="str">
        <f>P2</f>
        <v>10Y</v>
      </c>
      <c r="N2" s="257" t="str">
        <f>M2</f>
        <v>10Y</v>
      </c>
      <c r="O2" s="257" t="str">
        <f>M2</f>
        <v>10Y</v>
      </c>
      <c r="P2" s="129" t="s">
        <v>159</v>
      </c>
      <c r="Q2" s="257" t="str">
        <f>P2</f>
        <v>10Y</v>
      </c>
      <c r="R2" s="257" t="str">
        <f>P2</f>
        <v>10Y</v>
      </c>
      <c r="S2" s="931"/>
      <c r="T2" s="38"/>
      <c r="U2" s="900" t="s">
        <v>159</v>
      </c>
      <c r="V2" s="38"/>
      <c r="W2" s="35"/>
      <c r="X2" s="35"/>
      <c r="Y2" s="38"/>
      <c r="Z2" s="452" t="s">
        <v>151</v>
      </c>
      <c r="AA2" s="534"/>
      <c r="AB2" s="974" t="str">
        <f>IF('WACC BIPT &amp; Cullen 2013'!D2='For Simulations'!D2,"","!!!")</f>
        <v/>
      </c>
      <c r="AC2" s="976" t="str">
        <f>IF('WACC BIPT &amp; Cullen 2013'!J2='For Simulations'!J2,"","!!!")</f>
        <v/>
      </c>
      <c r="AD2" s="976" t="str">
        <f>IF('WACC BIPT &amp; Cullen 2013'!P2='For Simulations'!P2,"","!!!")</f>
        <v/>
      </c>
      <c r="AE2" s="975" t="str">
        <f>IF('WACC BIPT &amp; Cullen 2013'!M2='For Simulations'!M2,"","!!!")</f>
        <v/>
      </c>
      <c r="AF2" s="62" t="s">
        <v>151</v>
      </c>
      <c r="AG2" s="974" t="str">
        <f>IF(D2=$U$2,"","!!!")</f>
        <v/>
      </c>
      <c r="AH2" s="976" t="str">
        <f>IF(J2=$U$2,"","!!!")</f>
        <v/>
      </c>
      <c r="AI2" s="976" t="str">
        <f>IF(P2=$U$2,"","!!!")</f>
        <v/>
      </c>
      <c r="AJ2" s="975" t="str">
        <f>IF(M2=$U$2,"","!!!")</f>
        <v/>
      </c>
      <c r="AK2" s="539"/>
      <c r="AL2" s="363"/>
    </row>
    <row r="3" spans="1:38">
      <c r="A3" s="222" t="s">
        <v>7</v>
      </c>
      <c r="B3" s="1286" t="s">
        <v>0</v>
      </c>
      <c r="C3" s="1287"/>
      <c r="D3" s="249">
        <f>HLOOKUP(D2,$E$56:$Q$59,2,FALSE)/100</f>
        <v>2.6303155319238606E-2</v>
      </c>
      <c r="E3" s="916">
        <f>HLOOKUP(E2,$E$56:$Q$59,3,FALSE)/100</f>
        <v>2.1543636942675169E-2</v>
      </c>
      <c r="F3" s="916">
        <f>HLOOKUP(F2,$E$56:$Q$59,4,FALSE)/100</f>
        <v>3.4791202534501686E-2</v>
      </c>
      <c r="G3" s="249">
        <f>HLOOKUP(G2,$E$56:$Q$59,2,FALSE)/100</f>
        <v>2.6303155319238606E-2</v>
      </c>
      <c r="H3" s="916">
        <f>HLOOKUP(H2,$E$56:$Q$59,3,FALSE)/100</f>
        <v>2.1543636942675169E-2</v>
      </c>
      <c r="I3" s="916">
        <f>HLOOKUP(I2,$E$56:$Q$59,4,FALSE)/100</f>
        <v>3.4791202534501686E-2</v>
      </c>
      <c r="J3" s="129">
        <f>HLOOKUP(J2,$E$56:$Q$59,2,FALSE)/100</f>
        <v>2.6303155319238606E-2</v>
      </c>
      <c r="K3" s="916">
        <f>HLOOKUP(K2,$E$56:$Q$59,3,FALSE)/100</f>
        <v>2.1543636942675169E-2</v>
      </c>
      <c r="L3" s="916">
        <f>HLOOKUP(L2,$E$56:$Q$59,4,FALSE)/100</f>
        <v>3.4791202534501686E-2</v>
      </c>
      <c r="M3" s="249">
        <f>HLOOKUP(M2,$E$56:$Q$59,2,FALSE)/100</f>
        <v>2.6303155319238606E-2</v>
      </c>
      <c r="N3" s="916">
        <f>HLOOKUP(N2,$E$56:$Q$59,3,FALSE)/100</f>
        <v>2.1543636942675169E-2</v>
      </c>
      <c r="O3" s="916">
        <f>HLOOKUP(O2,$E$56:$Q$59,4,FALSE)/100</f>
        <v>3.4791202534501686E-2</v>
      </c>
      <c r="P3" s="129">
        <f>HLOOKUP(P2,$E$56:$Q$59,2,FALSE)/100</f>
        <v>2.6303155319238606E-2</v>
      </c>
      <c r="Q3" s="916">
        <f>HLOOKUP(Q2,$E$56:$Q$59,3,FALSE)/100</f>
        <v>2.1543636942675169E-2</v>
      </c>
      <c r="R3" s="916">
        <f>HLOOKUP(R2,$E$56:$Q$59,4,FALSE)/100</f>
        <v>3.4791202534501686E-2</v>
      </c>
      <c r="S3" s="931"/>
      <c r="U3" s="59">
        <v>0.04</v>
      </c>
      <c r="V3" s="44">
        <f>$U$3</f>
        <v>0.04</v>
      </c>
      <c r="W3" s="44">
        <f>$U$3</f>
        <v>0.04</v>
      </c>
      <c r="X3" s="44">
        <f>$U$3</f>
        <v>0.04</v>
      </c>
      <c r="Y3" s="45">
        <f>$U$3</f>
        <v>0.04</v>
      </c>
      <c r="Z3" s="383" t="s">
        <v>0</v>
      </c>
      <c r="AA3" s="484"/>
      <c r="AB3" s="931">
        <f>D3-'WACC BIPT &amp; Cullen 2013'!D3</f>
        <v>0</v>
      </c>
      <c r="AC3" s="966">
        <f>D3-$U$3</f>
        <v>-1.3696844680761395E-2</v>
      </c>
      <c r="AD3" s="108">
        <f>J3-$U$3</f>
        <v>-1.3696844680761395E-2</v>
      </c>
      <c r="AE3" s="443"/>
      <c r="AF3" s="383" t="s">
        <v>0</v>
      </c>
      <c r="AG3" s="931">
        <f>D3-U3</f>
        <v>-1.3696844680761395E-2</v>
      </c>
      <c r="AH3" s="966">
        <f>J3-V3</f>
        <v>-1.3696844680761395E-2</v>
      </c>
      <c r="AI3" s="108">
        <f>P3-Y3</f>
        <v>-1.3696844680761395E-2</v>
      </c>
      <c r="AJ3" s="1026">
        <f>M3-X3</f>
        <v>-1.3696844680761395E-2</v>
      </c>
      <c r="AK3" s="40"/>
    </row>
    <row r="4" spans="1:38" s="31" customFormat="1">
      <c r="A4" s="221" t="s">
        <v>133</v>
      </c>
      <c r="B4" s="1286" t="s">
        <v>446</v>
      </c>
      <c r="C4" s="1287"/>
      <c r="D4" s="201">
        <f>HLOOKUP(D2,$E$60:$Q$63,2,FALSE)/100</f>
        <v>6.4031868806607058E-3</v>
      </c>
      <c r="E4" s="916">
        <f>HLOOKUP(E2,$E$60:$Q$63,3,FALSE)/100</f>
        <v>6.454065477657079E-3</v>
      </c>
      <c r="F4" s="916">
        <f>HLOOKUP(F2,$E$60:$Q$63,4,FALSE)/100</f>
        <v>7.6673911259305507E-3</v>
      </c>
      <c r="G4" s="201">
        <f>HLOOKUP(G2,$E$60:$Q$63,2,FALSE)/100</f>
        <v>6.4031868806607058E-3</v>
      </c>
      <c r="H4" s="916">
        <f>HLOOKUP(H2,$E$60:$Q$63,3,FALSE)/100</f>
        <v>6.454065477657079E-3</v>
      </c>
      <c r="I4" s="916">
        <f>HLOOKUP(I2,$E$60:$Q$63,4,FALSE)/100</f>
        <v>7.6673911259305507E-3</v>
      </c>
      <c r="J4" s="59">
        <f>HLOOKUP(J2,$E$60:$Q$63,2,FALSE)/100</f>
        <v>6.4031868806607058E-3</v>
      </c>
      <c r="K4" s="916">
        <f>HLOOKUP(K2,$E$60:$Q$63,3,FALSE)/100</f>
        <v>6.454065477657079E-3</v>
      </c>
      <c r="L4" s="916">
        <f>HLOOKUP(L2,$E$60:$Q$63,4,FALSE)/100</f>
        <v>7.6673911259305507E-3</v>
      </c>
      <c r="M4" s="201">
        <f>HLOOKUP(M2,$E$60:$Q$63,2,FALSE)/100</f>
        <v>6.4031868806607058E-3</v>
      </c>
      <c r="N4" s="916">
        <f>HLOOKUP(N2,$E$60:$Q$63,3,FALSE)/100</f>
        <v>6.454065477657079E-3</v>
      </c>
      <c r="O4" s="916">
        <f>HLOOKUP(O2,$E$60:$Q$63,4,FALSE)/100</f>
        <v>7.6673911259305507E-3</v>
      </c>
      <c r="P4" s="59">
        <f>HLOOKUP(P2,$E$60:$Q$63,2,FALSE)/100</f>
        <v>6.4031868806607058E-3</v>
      </c>
      <c r="Q4" s="916">
        <f>HLOOKUP(Q2,$E$60:$Q$63,3,FALSE)/100</f>
        <v>6.454065477657079E-3</v>
      </c>
      <c r="R4" s="916">
        <f>HLOOKUP(R2,$E$60:$Q$63,4,FALSE)/100</f>
        <v>7.6673911259305507E-3</v>
      </c>
      <c r="S4" s="932"/>
      <c r="T4" s="893"/>
      <c r="U4" s="56"/>
      <c r="V4" s="44"/>
      <c r="W4" s="44"/>
      <c r="X4" s="44"/>
      <c r="Y4" s="44"/>
      <c r="Z4" s="452" t="s">
        <v>283</v>
      </c>
      <c r="AA4" s="484"/>
      <c r="AB4" s="931">
        <f>D4-'WACC BIPT &amp; Cullen 2013'!D4</f>
        <v>0</v>
      </c>
      <c r="AC4" s="977">
        <f>D4</f>
        <v>6.4031868806607058E-3</v>
      </c>
      <c r="AD4" s="250">
        <f>J4</f>
        <v>6.4031868806607058E-3</v>
      </c>
      <c r="AE4" s="83"/>
      <c r="AF4" s="383" t="s">
        <v>134</v>
      </c>
      <c r="AG4" s="931">
        <f t="shared" ref="AG4:AG6" si="0">D4-U4</f>
        <v>6.4031868806607058E-3</v>
      </c>
      <c r="AH4" s="977">
        <f t="shared" ref="AH4:AH6" si="1">J4-V4</f>
        <v>6.4031868806607058E-3</v>
      </c>
      <c r="AI4" s="108">
        <f t="shared" ref="AI4:AI6" si="2">P4-Y4</f>
        <v>6.4031868806607058E-3</v>
      </c>
      <c r="AJ4" s="1026">
        <f t="shared" ref="AJ4:AJ6" si="3">M4-X4</f>
        <v>6.4031868806607058E-3</v>
      </c>
      <c r="AK4" s="82"/>
      <c r="AL4" s="386"/>
    </row>
    <row r="5" spans="1:38">
      <c r="A5" s="222" t="s">
        <v>8</v>
      </c>
      <c r="B5" s="1286" t="s">
        <v>447</v>
      </c>
      <c r="C5" s="1287"/>
      <c r="D5" s="252">
        <f>$J$5</f>
        <v>5.3854791237840642E-2</v>
      </c>
      <c r="E5" s="253">
        <f>$K$5</f>
        <v>5.135479123784064E-2</v>
      </c>
      <c r="F5" s="254">
        <f>$L$5</f>
        <v>5.6354791237840644E-2</v>
      </c>
      <c r="G5" s="252">
        <f>$J$5</f>
        <v>5.3854791237840642E-2</v>
      </c>
      <c r="H5" s="253">
        <f>$K$5</f>
        <v>5.135479123784064E-2</v>
      </c>
      <c r="I5" s="254">
        <f>$L$5</f>
        <v>5.6354791237840644E-2</v>
      </c>
      <c r="J5" s="129">
        <f>D55/100</f>
        <v>5.3854791237840642E-2</v>
      </c>
      <c r="K5" s="926">
        <f>J5-0.25%</f>
        <v>5.135479123784064E-2</v>
      </c>
      <c r="L5" s="926">
        <f>J5+0.25%</f>
        <v>5.6354791237840644E-2</v>
      </c>
      <c r="M5" s="252">
        <f>$J$5</f>
        <v>5.3854791237840642E-2</v>
      </c>
      <c r="N5" s="253">
        <f>$K$5</f>
        <v>5.135479123784064E-2</v>
      </c>
      <c r="O5" s="254">
        <f>$L$5</f>
        <v>5.6354791237840644E-2</v>
      </c>
      <c r="P5" s="252">
        <f>$J$5</f>
        <v>5.3854791237840642E-2</v>
      </c>
      <c r="Q5" s="253">
        <f>$K$5</f>
        <v>5.135479123784064E-2</v>
      </c>
      <c r="R5" s="254">
        <f>$L$5</f>
        <v>5.6354791237840644E-2</v>
      </c>
      <c r="S5" s="932"/>
      <c r="U5" s="59">
        <v>5.2499999999999998E-2</v>
      </c>
      <c r="V5" s="44">
        <f>$U$5</f>
        <v>5.2499999999999998E-2</v>
      </c>
      <c r="W5" s="44">
        <f>$U$5</f>
        <v>5.2499999999999998E-2</v>
      </c>
      <c r="X5" s="44">
        <f>$U$5</f>
        <v>5.2499999999999998E-2</v>
      </c>
      <c r="Y5" s="45">
        <f>$U$5</f>
        <v>5.2499999999999998E-2</v>
      </c>
      <c r="Z5" s="383" t="s">
        <v>132</v>
      </c>
      <c r="AA5" s="484"/>
      <c r="AB5" s="931">
        <f>D5-'WACC BIPT &amp; Cullen 2013'!D5</f>
        <v>0</v>
      </c>
      <c r="AC5" s="977">
        <f>D5-$U$5</f>
        <v>1.354791237840644E-3</v>
      </c>
      <c r="AD5" s="250">
        <f>J5-$U$5</f>
        <v>1.354791237840644E-3</v>
      </c>
      <c r="AE5" s="83"/>
      <c r="AF5" s="383" t="s">
        <v>132</v>
      </c>
      <c r="AG5" s="931">
        <f t="shared" si="0"/>
        <v>1.354791237840644E-3</v>
      </c>
      <c r="AH5" s="977">
        <f t="shared" si="1"/>
        <v>1.354791237840644E-3</v>
      </c>
      <c r="AI5" s="108">
        <f t="shared" si="2"/>
        <v>1.354791237840644E-3</v>
      </c>
      <c r="AJ5" s="1026">
        <f t="shared" si="3"/>
        <v>1.354791237840644E-3</v>
      </c>
      <c r="AK5" s="82"/>
    </row>
    <row r="6" spans="1:38" s="60" customFormat="1">
      <c r="A6" s="223"/>
      <c r="B6" s="1288" t="s">
        <v>465</v>
      </c>
      <c r="C6" s="1289"/>
      <c r="D6" s="43">
        <f t="shared" ref="D6:R6" si="4">D3+D4+D5</f>
        <v>8.6561133437739954E-2</v>
      </c>
      <c r="E6" s="44">
        <f t="shared" si="4"/>
        <v>7.9352493658172887E-2</v>
      </c>
      <c r="F6" s="45">
        <f t="shared" si="4"/>
        <v>9.8813384898272877E-2</v>
      </c>
      <c r="G6" s="43">
        <f t="shared" si="4"/>
        <v>8.6561133437739954E-2</v>
      </c>
      <c r="H6" s="44">
        <f t="shared" si="4"/>
        <v>7.9352493658172887E-2</v>
      </c>
      <c r="I6" s="45">
        <f t="shared" si="4"/>
        <v>9.8813384898272877E-2</v>
      </c>
      <c r="J6" s="32">
        <f t="shared" si="4"/>
        <v>8.6561133437739954E-2</v>
      </c>
      <c r="K6" s="44">
        <f t="shared" si="4"/>
        <v>7.9352493658172887E-2</v>
      </c>
      <c r="L6" s="45">
        <f t="shared" si="4"/>
        <v>9.8813384898272877E-2</v>
      </c>
      <c r="M6" s="43">
        <f t="shared" si="4"/>
        <v>8.6561133437739954E-2</v>
      </c>
      <c r="N6" s="44">
        <f t="shared" si="4"/>
        <v>7.9352493658172887E-2</v>
      </c>
      <c r="O6" s="45">
        <f t="shared" si="4"/>
        <v>9.8813384898272877E-2</v>
      </c>
      <c r="P6" s="43">
        <f t="shared" si="4"/>
        <v>8.6561133437739954E-2</v>
      </c>
      <c r="Q6" s="44">
        <f t="shared" si="4"/>
        <v>7.9352493658172887E-2</v>
      </c>
      <c r="R6" s="45">
        <f t="shared" si="4"/>
        <v>9.8813384898272877E-2</v>
      </c>
      <c r="S6" s="932"/>
      <c r="T6" s="61"/>
      <c r="U6" s="32">
        <f>U3+U5</f>
        <v>9.2499999999999999E-2</v>
      </c>
      <c r="V6" s="44">
        <f t="shared" ref="V6:Y6" si="5">V3+V5</f>
        <v>9.2499999999999999E-2</v>
      </c>
      <c r="W6" s="44">
        <f t="shared" si="5"/>
        <v>9.2499999999999999E-2</v>
      </c>
      <c r="X6" s="44">
        <f t="shared" si="5"/>
        <v>9.2499999999999999E-2</v>
      </c>
      <c r="Y6" s="44">
        <f t="shared" si="5"/>
        <v>9.2499999999999999E-2</v>
      </c>
      <c r="Z6" s="458" t="s">
        <v>282</v>
      </c>
      <c r="AA6" s="83"/>
      <c r="AB6" s="931">
        <f>D6-'WACC BIPT &amp; Cullen 2013'!D6</f>
        <v>0</v>
      </c>
      <c r="AC6" s="82">
        <f>D6-$U$6</f>
        <v>-5.9388665622600451E-3</v>
      </c>
      <c r="AD6" s="250">
        <f>J6-$U$6</f>
        <v>-5.9388665622600451E-3</v>
      </c>
      <c r="AE6" s="443"/>
      <c r="AF6" s="82" t="s">
        <v>466</v>
      </c>
      <c r="AG6" s="931">
        <f t="shared" si="0"/>
        <v>-5.9388665622600451E-3</v>
      </c>
      <c r="AH6" s="82">
        <f t="shared" si="1"/>
        <v>-5.9388665622600451E-3</v>
      </c>
      <c r="AI6" s="108">
        <f t="shared" si="2"/>
        <v>-5.9388665622600451E-3</v>
      </c>
      <c r="AJ6" s="1026">
        <f t="shared" si="3"/>
        <v>-5.9388665622600451E-3</v>
      </c>
      <c r="AK6" s="40"/>
      <c r="AL6" s="403"/>
    </row>
    <row r="7" spans="1:38">
      <c r="A7" s="222" t="s">
        <v>9</v>
      </c>
      <c r="B7" s="1286" t="s">
        <v>10</v>
      </c>
      <c r="C7" s="1287"/>
      <c r="D7" s="64">
        <f t="shared" ref="D7:I7" si="6">$J$7</f>
        <v>0.33989999999999998</v>
      </c>
      <c r="E7" s="63">
        <f t="shared" si="6"/>
        <v>0.33989999999999998</v>
      </c>
      <c r="F7" s="65">
        <f t="shared" si="6"/>
        <v>0.33989999999999998</v>
      </c>
      <c r="G7" s="64">
        <f t="shared" si="6"/>
        <v>0.33989999999999998</v>
      </c>
      <c r="H7" s="63">
        <f t="shared" si="6"/>
        <v>0.33989999999999998</v>
      </c>
      <c r="I7" s="65">
        <f t="shared" si="6"/>
        <v>0.33989999999999998</v>
      </c>
      <c r="J7" s="62">
        <v>0.33989999999999998</v>
      </c>
      <c r="K7" s="63">
        <f t="shared" ref="K7:R7" si="7">$J$7</f>
        <v>0.33989999999999998</v>
      </c>
      <c r="L7" s="65">
        <f t="shared" si="7"/>
        <v>0.33989999999999998</v>
      </c>
      <c r="M7" s="64">
        <f t="shared" si="7"/>
        <v>0.33989999999999998</v>
      </c>
      <c r="N7" s="63">
        <f t="shared" si="7"/>
        <v>0.33989999999999998</v>
      </c>
      <c r="O7" s="65">
        <f t="shared" si="7"/>
        <v>0.33989999999999998</v>
      </c>
      <c r="P7" s="64">
        <f t="shared" si="7"/>
        <v>0.33989999999999998</v>
      </c>
      <c r="Q7" s="63">
        <f t="shared" si="7"/>
        <v>0.33989999999999998</v>
      </c>
      <c r="R7" s="65">
        <f t="shared" si="7"/>
        <v>0.33989999999999998</v>
      </c>
      <c r="S7" s="931"/>
      <c r="U7" s="62">
        <v>0.33989999999999998</v>
      </c>
      <c r="V7" s="44">
        <f>$U$7</f>
        <v>0.33989999999999998</v>
      </c>
      <c r="W7" s="44">
        <f>$U$7</f>
        <v>0.33989999999999998</v>
      </c>
      <c r="X7" s="44">
        <f>$U$7</f>
        <v>0.33989999999999998</v>
      </c>
      <c r="Y7" s="45">
        <f>$U$7</f>
        <v>0.33989999999999998</v>
      </c>
      <c r="Z7" s="62" t="s">
        <v>10</v>
      </c>
      <c r="AA7" s="443"/>
      <c r="AB7" s="64"/>
      <c r="AC7" s="108"/>
      <c r="AD7" s="108"/>
      <c r="AE7" s="443"/>
      <c r="AF7" s="40"/>
      <c r="AG7" s="64"/>
      <c r="AH7" s="108"/>
      <c r="AI7" s="108"/>
      <c r="AJ7" s="443"/>
      <c r="AK7" s="40"/>
    </row>
    <row r="8" spans="1:38" ht="13.2" customHeight="1">
      <c r="B8" s="1294" t="s">
        <v>433</v>
      </c>
      <c r="C8" s="1295"/>
      <c r="D8" s="834">
        <f>HLOOKUP(D2,$E$64:$Q$65,2,FALSE)</f>
        <v>8</v>
      </c>
      <c r="E8" s="835">
        <f t="shared" ref="E8:R8" si="8">HLOOKUP(E2,$E$64:$Q$65,2,FALSE)</f>
        <v>8</v>
      </c>
      <c r="F8" s="864">
        <f t="shared" si="8"/>
        <v>8</v>
      </c>
      <c r="G8" s="834">
        <f>HLOOKUP(G2,$E$64:$Q$65,2,FALSE)</f>
        <v>8</v>
      </c>
      <c r="H8" s="835">
        <f t="shared" si="8"/>
        <v>8</v>
      </c>
      <c r="I8" s="864">
        <f t="shared" si="8"/>
        <v>8</v>
      </c>
      <c r="J8" s="834">
        <f>HLOOKUP(J2,$E$64:$Q$65,2,FALSE)</f>
        <v>8</v>
      </c>
      <c r="K8" s="835">
        <f t="shared" si="8"/>
        <v>8</v>
      </c>
      <c r="L8" s="864">
        <f t="shared" si="8"/>
        <v>8</v>
      </c>
      <c r="M8" s="834">
        <f>HLOOKUP(M2,$E$64:$Q$65,2,FALSE)</f>
        <v>8</v>
      </c>
      <c r="N8" s="835">
        <f t="shared" si="8"/>
        <v>8</v>
      </c>
      <c r="O8" s="864">
        <f t="shared" si="8"/>
        <v>8</v>
      </c>
      <c r="P8" s="834">
        <f>HLOOKUP(P2,$E$64:$Q$65,2,FALSE)</f>
        <v>8</v>
      </c>
      <c r="Q8" s="835">
        <f t="shared" si="8"/>
        <v>8</v>
      </c>
      <c r="R8" s="864">
        <f t="shared" si="8"/>
        <v>8</v>
      </c>
      <c r="S8" s="933"/>
      <c r="U8" s="71"/>
      <c r="Z8" s="172"/>
      <c r="AA8" s="484"/>
      <c r="AB8" s="347"/>
      <c r="AC8" s="893"/>
      <c r="AD8" s="893"/>
      <c r="AE8" s="484"/>
      <c r="AF8" s="893"/>
      <c r="AG8" s="347"/>
      <c r="AJ8" s="484"/>
    </row>
    <row r="9" spans="1:38" s="523" customFormat="1" ht="13.2" customHeight="1">
      <c r="A9" s="222"/>
      <c r="B9" s="1296"/>
      <c r="C9" s="1297"/>
      <c r="D9" s="1000" t="s">
        <v>3</v>
      </c>
      <c r="E9" s="1001"/>
      <c r="F9" s="1002"/>
      <c r="G9" s="1000" t="s">
        <v>137</v>
      </c>
      <c r="H9" s="1001"/>
      <c r="I9" s="1002"/>
      <c r="J9" s="72" t="s">
        <v>168</v>
      </c>
      <c r="K9" s="1001"/>
      <c r="L9" s="1002"/>
      <c r="M9" s="1000" t="s">
        <v>2</v>
      </c>
      <c r="N9" s="1001"/>
      <c r="O9" s="1002"/>
      <c r="P9" s="72" t="s">
        <v>76</v>
      </c>
      <c r="Q9" s="1001"/>
      <c r="R9" s="1002"/>
      <c r="S9" s="933"/>
      <c r="T9" s="73"/>
      <c r="U9" s="991" t="s">
        <v>3</v>
      </c>
      <c r="V9" s="1061" t="s">
        <v>168</v>
      </c>
      <c r="W9" s="1006" t="s">
        <v>1</v>
      </c>
      <c r="X9" s="1006" t="s">
        <v>2</v>
      </c>
      <c r="Y9" s="1061" t="s">
        <v>76</v>
      </c>
      <c r="Z9" s="74"/>
      <c r="AA9" s="484"/>
      <c r="AB9" s="991" t="s">
        <v>284</v>
      </c>
      <c r="AC9" s="157" t="s">
        <v>276</v>
      </c>
      <c r="AD9" s="157" t="s">
        <v>277</v>
      </c>
      <c r="AE9" s="991" t="s">
        <v>463</v>
      </c>
      <c r="AF9" s="484"/>
      <c r="AG9" s="991" t="s">
        <v>284</v>
      </c>
      <c r="AH9" s="1127" t="s">
        <v>475</v>
      </c>
      <c r="AI9" s="1127" t="s">
        <v>476</v>
      </c>
      <c r="AJ9" s="991" t="s">
        <v>463</v>
      </c>
      <c r="AK9" s="893"/>
      <c r="AL9" s="553"/>
    </row>
    <row r="10" spans="1:38" s="31" customFormat="1">
      <c r="A10" s="221" t="s">
        <v>178</v>
      </c>
      <c r="B10" s="992" t="s">
        <v>307</v>
      </c>
      <c r="C10" s="913" t="s">
        <v>176</v>
      </c>
      <c r="D10" s="892"/>
      <c r="E10" s="917" t="s">
        <v>135</v>
      </c>
      <c r="F10" s="918" t="s">
        <v>136</v>
      </c>
      <c r="G10" s="914"/>
      <c r="H10" s="917" t="s">
        <v>135</v>
      </c>
      <c r="I10" s="918" t="s">
        <v>136</v>
      </c>
      <c r="J10" s="914"/>
      <c r="K10" s="917" t="s">
        <v>135</v>
      </c>
      <c r="L10" s="918" t="s">
        <v>136</v>
      </c>
      <c r="M10" s="914"/>
      <c r="N10" s="917" t="s">
        <v>135</v>
      </c>
      <c r="O10" s="918" t="s">
        <v>136</v>
      </c>
      <c r="P10" s="914"/>
      <c r="Q10" s="917" t="s">
        <v>135</v>
      </c>
      <c r="R10" s="918" t="s">
        <v>136</v>
      </c>
      <c r="S10" s="929">
        <f>IF(C10="Yes",1,0)</f>
        <v>1</v>
      </c>
      <c r="T10" s="828"/>
      <c r="U10" s="459"/>
      <c r="V10" s="132"/>
      <c r="W10" s="460"/>
      <c r="X10" s="460"/>
      <c r="Y10" s="132"/>
      <c r="Z10" s="484" t="s">
        <v>285</v>
      </c>
      <c r="AA10" s="484"/>
      <c r="AB10" s="1305" t="str">
        <f>IF($C$10="yes", "","OL")</f>
        <v/>
      </c>
      <c r="AC10" s="1326"/>
      <c r="AD10" s="1326"/>
      <c r="AE10" s="1327"/>
      <c r="AF10" s="893" t="s">
        <v>464</v>
      </c>
      <c r="AG10" s="1305" t="str">
        <f>IF($C$10="yes", "OL","")</f>
        <v>OL</v>
      </c>
      <c r="AH10" s="1306"/>
      <c r="AI10" s="1306"/>
      <c r="AJ10" s="1307"/>
      <c r="AK10" s="540"/>
      <c r="AL10" s="386"/>
    </row>
    <row r="11" spans="1:38">
      <c r="A11" s="222" t="s">
        <v>427</v>
      </c>
      <c r="B11" s="1286" t="s">
        <v>273</v>
      </c>
      <c r="C11" s="1287"/>
      <c r="D11" s="76">
        <f t="shared" ref="D11:R11" si="9">$S$10*D82+(1-$S$10)*D83</f>
        <v>0.4</v>
      </c>
      <c r="E11" s="919">
        <f t="shared" si="9"/>
        <v>0.2</v>
      </c>
      <c r="F11" s="919">
        <f t="shared" si="9"/>
        <v>0.5</v>
      </c>
      <c r="G11" s="76">
        <v>0.39</v>
      </c>
      <c r="H11" s="919">
        <f t="shared" si="9"/>
        <v>0.3888888888888889</v>
      </c>
      <c r="I11" s="919">
        <f t="shared" si="9"/>
        <v>0.5</v>
      </c>
      <c r="J11" s="77">
        <v>0.37</v>
      </c>
      <c r="K11" s="919">
        <f t="shared" si="9"/>
        <v>0.42293309416603231</v>
      </c>
      <c r="L11" s="919">
        <f t="shared" si="9"/>
        <v>0.52293309416603229</v>
      </c>
      <c r="M11" s="76">
        <f t="shared" si="9"/>
        <v>0.28041293785321875</v>
      </c>
      <c r="N11" s="919">
        <f t="shared" si="9"/>
        <v>0.2</v>
      </c>
      <c r="O11" s="919">
        <f t="shared" si="9"/>
        <v>0.4561905930983241</v>
      </c>
      <c r="P11" s="77">
        <f t="shared" si="9"/>
        <v>0.27500000000000002</v>
      </c>
      <c r="Q11" s="919">
        <f t="shared" si="9"/>
        <v>0.25</v>
      </c>
      <c r="R11" s="919">
        <f t="shared" si="9"/>
        <v>0.3</v>
      </c>
      <c r="S11" s="933"/>
      <c r="T11" s="73"/>
      <c r="U11" s="78">
        <v>0.32</v>
      </c>
      <c r="V11" s="77">
        <v>0.4</v>
      </c>
      <c r="W11" s="78">
        <v>0.25</v>
      </c>
      <c r="X11" s="78">
        <v>0.25</v>
      </c>
      <c r="Y11" s="77">
        <v>0.25</v>
      </c>
      <c r="Z11" s="382" t="s">
        <v>172</v>
      </c>
      <c r="AA11" s="387"/>
      <c r="AB11" s="943">
        <f>D11-'WACC BIPT &amp; Cullen 2013'!D11</f>
        <v>0</v>
      </c>
      <c r="AC11" s="970">
        <f>J11-'WACC BIPT &amp; Cullen 2013'!J11</f>
        <v>-0.1029330941660323</v>
      </c>
      <c r="AD11" s="970">
        <f>P11-'WACC BIPT &amp; Cullen 2013'!P11</f>
        <v>0</v>
      </c>
      <c r="AE11" s="387">
        <f>M11-'WACC BIPT &amp; Cullen 2013'!M11</f>
        <v>0</v>
      </c>
      <c r="AF11" s="382" t="s">
        <v>172</v>
      </c>
      <c r="AG11" s="943">
        <f>D11-U11</f>
        <v>8.0000000000000016E-2</v>
      </c>
      <c r="AH11" s="970">
        <f>J11-V11</f>
        <v>-3.0000000000000027E-2</v>
      </c>
      <c r="AI11" s="970">
        <f>P11-Y11</f>
        <v>2.5000000000000022E-2</v>
      </c>
      <c r="AJ11" s="387">
        <f>M11-X11</f>
        <v>3.0412937853218747E-2</v>
      </c>
      <c r="AK11" s="79"/>
    </row>
    <row r="12" spans="1:38" s="52" customFormat="1">
      <c r="A12" s="221"/>
      <c r="B12" s="1298" t="s">
        <v>275</v>
      </c>
      <c r="C12" s="1299"/>
      <c r="D12" s="980">
        <f>D11/(1-D11)</f>
        <v>0.66666666666666674</v>
      </c>
      <c r="E12" s="981">
        <f t="shared" ref="E12:F12" si="10">E11/(1-E11)</f>
        <v>0.25</v>
      </c>
      <c r="F12" s="982">
        <f t="shared" si="10"/>
        <v>1</v>
      </c>
      <c r="G12" s="980">
        <f>G11/(1-G11)</f>
        <v>0.63934426229508201</v>
      </c>
      <c r="H12" s="981">
        <f t="shared" ref="H12:I12" si="11">H11/(1-H11)</f>
        <v>0.63636363636363635</v>
      </c>
      <c r="I12" s="982">
        <f t="shared" si="11"/>
        <v>1</v>
      </c>
      <c r="J12" s="980">
        <f>J11/(1-J11)</f>
        <v>0.58730158730158732</v>
      </c>
      <c r="K12" s="981">
        <f t="shared" ref="K12:L12" si="12">K11/(1-K11)</f>
        <v>0.73290131506470002</v>
      </c>
      <c r="L12" s="982">
        <f t="shared" si="12"/>
        <v>1.0961420458455093</v>
      </c>
      <c r="M12" s="980">
        <f>M11/(1-M11)</f>
        <v>0.38968590821609317</v>
      </c>
      <c r="N12" s="981">
        <f t="shared" ref="N12:O12" si="13">N11/(1-N11)</f>
        <v>0.25</v>
      </c>
      <c r="O12" s="982">
        <f t="shared" si="13"/>
        <v>0.83887955469075981</v>
      </c>
      <c r="P12" s="980">
        <f>P11/(1-P11)</f>
        <v>0.37931034482758624</v>
      </c>
      <c r="Q12" s="981">
        <f t="shared" ref="Q12:R12" si="14">Q11/(1-Q11)</f>
        <v>0.33333333333333331</v>
      </c>
      <c r="R12" s="982">
        <f t="shared" si="14"/>
        <v>0.4285714285714286</v>
      </c>
      <c r="S12" s="934"/>
      <c r="T12" s="893"/>
      <c r="U12" s="461">
        <f>U11/(1-U11)</f>
        <v>0.4705882352941177</v>
      </c>
      <c r="V12" s="462">
        <f>V11/(1-V11)</f>
        <v>0.66666666666666674</v>
      </c>
      <c r="W12" s="462">
        <f>W11/(1-W11)</f>
        <v>0.33333333333333331</v>
      </c>
      <c r="X12" s="462">
        <f>X11/(1-X11)</f>
        <v>0.33333333333333331</v>
      </c>
      <c r="Y12" s="462">
        <f>Y11/(1-Y11)</f>
        <v>0.33333333333333331</v>
      </c>
      <c r="Z12" s="463" t="s">
        <v>449</v>
      </c>
      <c r="AA12" s="387"/>
      <c r="AB12" s="348"/>
      <c r="AC12" s="79"/>
      <c r="AD12" s="79"/>
      <c r="AE12" s="387"/>
      <c r="AF12" s="79"/>
      <c r="AG12" s="348"/>
      <c r="AH12" s="79"/>
      <c r="AI12" s="79"/>
      <c r="AJ12" s="387"/>
      <c r="AK12" s="79"/>
      <c r="AL12" s="365"/>
    </row>
    <row r="13" spans="1:38" s="52" customFormat="1" ht="13.2" customHeight="1">
      <c r="A13" s="221"/>
      <c r="B13" s="892"/>
      <c r="C13" s="893"/>
      <c r="D13" s="80"/>
      <c r="E13" s="33" t="s">
        <v>169</v>
      </c>
      <c r="F13" s="920" t="s">
        <v>170</v>
      </c>
      <c r="G13" s="80"/>
      <c r="H13" s="33" t="s">
        <v>169</v>
      </c>
      <c r="I13" s="920" t="s">
        <v>170</v>
      </c>
      <c r="J13" s="80"/>
      <c r="K13" s="33" t="s">
        <v>169</v>
      </c>
      <c r="L13" s="920" t="s">
        <v>170</v>
      </c>
      <c r="M13" s="80"/>
      <c r="N13" s="33" t="s">
        <v>169</v>
      </c>
      <c r="O13" s="920" t="s">
        <v>170</v>
      </c>
      <c r="P13" s="80"/>
      <c r="Q13" s="33" t="s">
        <v>169</v>
      </c>
      <c r="R13" s="920" t="s">
        <v>170</v>
      </c>
      <c r="S13" s="934"/>
      <c r="T13" s="893"/>
      <c r="U13" s="943"/>
      <c r="V13" s="79"/>
      <c r="W13" s="79"/>
      <c r="X13" s="79"/>
      <c r="Y13" s="79"/>
      <c r="Z13" s="387"/>
      <c r="AA13" s="387"/>
      <c r="AB13" s="348"/>
      <c r="AC13" s="79"/>
      <c r="AD13" s="79"/>
      <c r="AE13" s="387"/>
      <c r="AF13" s="79"/>
      <c r="AG13" s="348"/>
      <c r="AH13" s="79"/>
      <c r="AI13" s="79"/>
      <c r="AJ13" s="387"/>
      <c r="AK13" s="79"/>
      <c r="AL13" s="365"/>
    </row>
    <row r="14" spans="1:38" s="75" customFormat="1">
      <c r="A14" s="222" t="s">
        <v>138</v>
      </c>
      <c r="B14" s="1286" t="s">
        <v>167</v>
      </c>
      <c r="C14" s="1287"/>
      <c r="D14" s="76" t="s">
        <v>143</v>
      </c>
      <c r="E14" s="919" t="str">
        <f t="shared" ref="E14:I14" si="15">IF($S$10&gt;50%,E84,E85)</f>
        <v>A</v>
      </c>
      <c r="F14" s="919" t="str">
        <f t="shared" si="15"/>
        <v>BBB+</v>
      </c>
      <c r="G14" s="76" t="str">
        <f t="shared" si="15"/>
        <v>B+</v>
      </c>
      <c r="H14" s="919" t="str">
        <f t="shared" si="15"/>
        <v>BB-</v>
      </c>
      <c r="I14" s="919" t="str">
        <f t="shared" si="15"/>
        <v>B+</v>
      </c>
      <c r="J14" s="77" t="s">
        <v>140</v>
      </c>
      <c r="K14" s="919" t="str">
        <f>IF($S$10&gt;50%,K84,K85)</f>
        <v>BBB+</v>
      </c>
      <c r="L14" s="919" t="str">
        <f>IF($S$10&gt;50%,L84,L85)</f>
        <v>BBB-</v>
      </c>
      <c r="M14" s="76" t="s">
        <v>140</v>
      </c>
      <c r="N14" s="919" t="str">
        <f>IF($S$10&gt;50%,N84,N85)</f>
        <v>BBB+</v>
      </c>
      <c r="O14" s="919" t="str">
        <f>IF($S$10&gt;50%,O84,O85)</f>
        <v>BBB-</v>
      </c>
      <c r="P14" s="77" t="s">
        <v>140</v>
      </c>
      <c r="Q14" s="919" t="str">
        <f>IF($S$10&gt;50%,Q84,Q85)</f>
        <v>BBB+</v>
      </c>
      <c r="R14" s="919" t="str">
        <f>IF($S$10&gt;50%,R84,R85)</f>
        <v>BBB-</v>
      </c>
      <c r="S14" s="933"/>
      <c r="T14" s="893"/>
      <c r="U14" s="944" t="s">
        <v>139</v>
      </c>
      <c r="V14" s="945" t="s">
        <v>142</v>
      </c>
      <c r="W14" s="945" t="s">
        <v>139</v>
      </c>
      <c r="X14" s="945" t="s">
        <v>143</v>
      </c>
      <c r="Y14" s="945" t="s">
        <v>143</v>
      </c>
      <c r="Z14" s="946" t="s">
        <v>278</v>
      </c>
      <c r="AA14" s="484"/>
      <c r="AB14" s="892" t="str">
        <f>CONCATENATE(D18-'WACC BIPT &amp; Cullen 2013'!D18," notch")</f>
        <v>0 notch</v>
      </c>
      <c r="AC14" s="965" t="str">
        <f>CONCATENATE(J18-'WACC BIPT &amp; Cullen 2013'!J18," notch")</f>
        <v>0 notch</v>
      </c>
      <c r="AD14" s="965" t="str">
        <f>CONCATENATE(P18-'WACC BIPT &amp; Cullen 2013'!P18," notch")</f>
        <v>0 notch</v>
      </c>
      <c r="AE14" s="484" t="str">
        <f>CONCATENATE(M18-'WACC BIPT &amp; Cullen 2013'!M18," notch")</f>
        <v>0 notch</v>
      </c>
      <c r="AF14" s="383" t="s">
        <v>278</v>
      </c>
      <c r="AG14" s="892" t="str">
        <f>CONCATENATE(D18-U18," notch")</f>
        <v>1 notch</v>
      </c>
      <c r="AH14" s="965" t="str">
        <f>CONCATENATE(J18-V18," notch")</f>
        <v>1 notch</v>
      </c>
      <c r="AI14" s="965" t="str">
        <f>CONCATENATE(P18-Y18," notch")</f>
        <v>2 notch</v>
      </c>
      <c r="AJ14" s="484" t="str">
        <f>CONCATENATE(M18-X18," notch")</f>
        <v>2 notch</v>
      </c>
      <c r="AK14" s="202"/>
      <c r="AL14" s="288"/>
    </row>
    <row r="15" spans="1:38">
      <c r="A15" s="225" t="s">
        <v>14</v>
      </c>
      <c r="B15" s="1288" t="s">
        <v>444</v>
      </c>
      <c r="C15" s="1289"/>
      <c r="D15" s="50">
        <f>D17-D16-D3</f>
        <v>1.2381910828025474E-2</v>
      </c>
      <c r="E15" s="57">
        <f>E17-E16-E3</f>
        <v>1.0628369426751581E-2</v>
      </c>
      <c r="F15" s="130">
        <f t="shared" ref="F15:R15" si="16">F17-F16-F3</f>
        <v>1.8894970605862815E-2</v>
      </c>
      <c r="G15" s="50">
        <f t="shared" si="16"/>
        <v>6.5122033885350317E-2</v>
      </c>
      <c r="H15" s="57">
        <f t="shared" si="16"/>
        <v>5.2040844585987248E-2</v>
      </c>
      <c r="I15" s="130">
        <f t="shared" si="16"/>
        <v>6.9881552261913754E-2</v>
      </c>
      <c r="J15" s="50">
        <f t="shared" si="16"/>
        <v>1.664773248407642E-2</v>
      </c>
      <c r="K15" s="57">
        <f t="shared" si="16"/>
        <v>1.4135452229299374E-2</v>
      </c>
      <c r="L15" s="130">
        <f t="shared" si="16"/>
        <v>2.7731053408410561E-2</v>
      </c>
      <c r="M15" s="50">
        <f t="shared" si="16"/>
        <v>1.664773248407642E-2</v>
      </c>
      <c r="N15" s="57">
        <f t="shared" si="16"/>
        <v>1.4135452229299374E-2</v>
      </c>
      <c r="O15" s="130">
        <f t="shared" si="16"/>
        <v>2.7731053408410561E-2</v>
      </c>
      <c r="P15" s="50">
        <f t="shared" si="16"/>
        <v>1.664773248407642E-2</v>
      </c>
      <c r="Q15" s="57">
        <f t="shared" si="16"/>
        <v>1.4135452229299374E-2</v>
      </c>
      <c r="R15" s="130">
        <f t="shared" si="16"/>
        <v>2.7731053408410561E-2</v>
      </c>
      <c r="S15" s="933"/>
      <c r="T15" s="73"/>
      <c r="U15" s="81">
        <v>1.2999999999999999E-2</v>
      </c>
      <c r="V15" s="58">
        <v>1.4999999999999999E-2</v>
      </c>
      <c r="W15" s="81">
        <v>1.2999999999999999E-2</v>
      </c>
      <c r="X15" s="81">
        <v>1.2999999999999999E-2</v>
      </c>
      <c r="Y15" s="58">
        <v>1.2999999999999999E-2</v>
      </c>
      <c r="Z15" s="383" t="s">
        <v>444</v>
      </c>
      <c r="AA15" s="484"/>
      <c r="AB15" s="32">
        <f>D15-'WACC BIPT &amp; Cullen 2013'!D15</f>
        <v>0</v>
      </c>
      <c r="AC15" s="966">
        <f>J15-'WACC BIPT &amp; Cullen 2013'!J15</f>
        <v>0</v>
      </c>
      <c r="AD15" s="966">
        <f>P15-'WACC BIPT &amp; Cullen 2013'!P15</f>
        <v>0</v>
      </c>
      <c r="AE15" s="443">
        <f>M15-'WACC BIPT &amp; Cullen 2013'!M15</f>
        <v>0</v>
      </c>
      <c r="AF15" s="383" t="s">
        <v>444</v>
      </c>
      <c r="AG15" s="32">
        <f>D15-U15</f>
        <v>-6.1808917197452538E-4</v>
      </c>
      <c r="AH15" s="966">
        <f>J15-V15</f>
        <v>1.6477324840764203E-3</v>
      </c>
      <c r="AI15" s="966">
        <f>P15-Y15</f>
        <v>3.6477324840764203E-3</v>
      </c>
      <c r="AJ15" s="443">
        <f>M15-X15</f>
        <v>3.6477324840764203E-3</v>
      </c>
      <c r="AK15" s="40"/>
    </row>
    <row r="16" spans="1:38" s="31" customFormat="1">
      <c r="A16" s="74" t="s">
        <v>144</v>
      </c>
      <c r="B16" s="1286" t="s">
        <v>145</v>
      </c>
      <c r="C16" s="1287"/>
      <c r="D16" s="62">
        <f>$J$16</f>
        <v>1.5E-3</v>
      </c>
      <c r="E16" s="257">
        <f>D16</f>
        <v>1.5E-3</v>
      </c>
      <c r="F16" s="257">
        <f>D16</f>
        <v>1.5E-3</v>
      </c>
      <c r="G16" s="62">
        <f>$J$16</f>
        <v>1.5E-3</v>
      </c>
      <c r="H16" s="257">
        <f>G16</f>
        <v>1.5E-3</v>
      </c>
      <c r="I16" s="257">
        <f>G16</f>
        <v>1.5E-3</v>
      </c>
      <c r="J16" s="201">
        <f>$D$77/100</f>
        <v>1.5E-3</v>
      </c>
      <c r="K16" s="257">
        <f>J16</f>
        <v>1.5E-3</v>
      </c>
      <c r="L16" s="257">
        <f>J16</f>
        <v>1.5E-3</v>
      </c>
      <c r="M16" s="62">
        <f>$J$16</f>
        <v>1.5E-3</v>
      </c>
      <c r="N16" s="257">
        <f>M16</f>
        <v>1.5E-3</v>
      </c>
      <c r="O16" s="257">
        <f>M16</f>
        <v>1.5E-3</v>
      </c>
      <c r="P16" s="201">
        <f>$D$77/100</f>
        <v>1.5E-3</v>
      </c>
      <c r="Q16" s="257">
        <f>P16</f>
        <v>1.5E-3</v>
      </c>
      <c r="R16" s="257">
        <f>P16</f>
        <v>1.5E-3</v>
      </c>
      <c r="S16" s="931"/>
      <c r="T16" s="893"/>
      <c r="U16" s="464">
        <v>2E-3</v>
      </c>
      <c r="V16" s="464">
        <v>2E-3</v>
      </c>
      <c r="W16" s="464">
        <v>2E-3</v>
      </c>
      <c r="X16" s="464">
        <v>2E-3</v>
      </c>
      <c r="Y16" s="464">
        <v>2E-3</v>
      </c>
      <c r="Z16" s="62" t="s">
        <v>145</v>
      </c>
      <c r="AA16" s="443"/>
      <c r="AB16" s="32">
        <f>D16-'WACC BIPT &amp; Cullen 2013'!D16</f>
        <v>0</v>
      </c>
      <c r="AC16" s="966">
        <f>J16-'WACC BIPT &amp; Cullen 2013'!J16</f>
        <v>0</v>
      </c>
      <c r="AD16" s="966">
        <f>P16-'WACC BIPT &amp; Cullen 2013'!P16</f>
        <v>0</v>
      </c>
      <c r="AE16" s="443">
        <f>M16-'WACC BIPT &amp; Cullen 2013'!M16</f>
        <v>0</v>
      </c>
      <c r="AF16" s="62" t="s">
        <v>145</v>
      </c>
      <c r="AG16" s="32">
        <f>D16-U16</f>
        <v>-5.0000000000000001E-4</v>
      </c>
      <c r="AH16" s="966">
        <f>J16-U16</f>
        <v>-5.0000000000000001E-4</v>
      </c>
      <c r="AI16" s="966">
        <f>P16-Y16</f>
        <v>-5.0000000000000001E-4</v>
      </c>
      <c r="AJ16" s="443">
        <f>M16-X16</f>
        <v>-5.0000000000000001E-4</v>
      </c>
      <c r="AK16" s="40"/>
      <c r="AL16" s="386"/>
    </row>
    <row r="17" spans="1:38" s="84" customFormat="1">
      <c r="A17" s="226" t="s">
        <v>16</v>
      </c>
      <c r="B17" s="1286" t="s">
        <v>445</v>
      </c>
      <c r="C17" s="1287"/>
      <c r="D17" s="162">
        <f>INDEX($E$66:$Q$76,D18,D8)/100+D16</f>
        <v>4.0185066147264081E-2</v>
      </c>
      <c r="E17" s="257">
        <f>INDEX($E$66:$Q$76,E18,E8)/100+E16+(E3-D3)</f>
        <v>3.367200636942675E-2</v>
      </c>
      <c r="F17" s="257">
        <f>INDEX($E$66:$Q$76,F18,F8)/100+F16+(F3-E3)</f>
        <v>5.5186173140364503E-2</v>
      </c>
      <c r="G17" s="162">
        <f>INDEX($E$66:$Q$76,G18,G8)/100+G16</f>
        <v>9.2925189204588921E-2</v>
      </c>
      <c r="H17" s="257">
        <f>INDEX($E$66:$Q$76,H18,H8)/100+H16+(H3-G3)</f>
        <v>7.5084481528662414E-2</v>
      </c>
      <c r="I17" s="257">
        <f>INDEX($E$66:$Q$76,I18,I8)/100+I16+(I3-H3)</f>
        <v>0.10617275479641544</v>
      </c>
      <c r="J17" s="59">
        <f>INDEX($E$66:$Q$76,J18,J8)/100+J16</f>
        <v>4.4450887803315027E-2</v>
      </c>
      <c r="K17" s="257">
        <f>INDEX($E$66:$Q$76,K18,K8)/100+K16+(K3-J3)</f>
        <v>3.7179089171974544E-2</v>
      </c>
      <c r="L17" s="257">
        <f>INDEX($E$66:$Q$76,L18,L8)/100+L16+(L3-K3)</f>
        <v>6.4022255942912248E-2</v>
      </c>
      <c r="M17" s="162">
        <f>INDEX($E$66:$Q$76,M18,M8)/100+M16</f>
        <v>4.4450887803315027E-2</v>
      </c>
      <c r="N17" s="257">
        <f>INDEX($E$66:$Q$76,N18,N8)/100+N16+(N3-M3)</f>
        <v>3.7179089171974544E-2</v>
      </c>
      <c r="O17" s="257">
        <f>INDEX($E$66:$Q$76,O18,O8)/100+O16+(O3-N3)</f>
        <v>6.4022255942912248E-2</v>
      </c>
      <c r="P17" s="59">
        <f>INDEX($E$66:$Q$76,P18,P8)/100+P16</f>
        <v>4.4450887803315027E-2</v>
      </c>
      <c r="Q17" s="257">
        <f>INDEX($E$66:$Q$76,Q18,Q8)/100+Q16+(Q3-P3)</f>
        <v>3.7179089171974544E-2</v>
      </c>
      <c r="R17" s="257">
        <f>INDEX($E$66:$Q$76,R18,R8)/100+R16+(R3-Q3)</f>
        <v>6.4022255942912248E-2</v>
      </c>
      <c r="S17" s="932"/>
      <c r="T17" s="73"/>
      <c r="U17" s="948">
        <f>U3+U15+U16</f>
        <v>5.5E-2</v>
      </c>
      <c r="V17" s="949">
        <f>V3+V15+V16</f>
        <v>5.7000000000000002E-2</v>
      </c>
      <c r="W17" s="949">
        <f>W3+W15+W16</f>
        <v>5.5E-2</v>
      </c>
      <c r="X17" s="949">
        <f>X3+X15+X16</f>
        <v>5.5E-2</v>
      </c>
      <c r="Y17" s="949">
        <f>Y3+Y15+Y16</f>
        <v>5.5E-2</v>
      </c>
      <c r="Z17" s="947" t="s">
        <v>279</v>
      </c>
      <c r="AA17" s="535"/>
      <c r="AB17" s="32">
        <f>D17-'WACC BIPT &amp; Cullen 2013'!D17</f>
        <v>0</v>
      </c>
      <c r="AC17" s="82">
        <f>J17-'WACC BIPT &amp; Cullen 2013'!J17</f>
        <v>0</v>
      </c>
      <c r="AD17" s="82">
        <f>P17-'WACC BIPT &amp; Cullen 2013'!P17</f>
        <v>0</v>
      </c>
      <c r="AE17" s="443">
        <f>M17-'WACC BIPT &amp; Cullen 2013'!M17</f>
        <v>0</v>
      </c>
      <c r="AF17" s="604" t="s">
        <v>279</v>
      </c>
      <c r="AG17" s="50">
        <f>D17-U17</f>
        <v>-1.4814933852735919E-2</v>
      </c>
      <c r="AH17" s="82">
        <f>J17-V17</f>
        <v>-1.2549112196684975E-2</v>
      </c>
      <c r="AI17" s="82">
        <f>P17-Y17</f>
        <v>-1.0549112196684973E-2</v>
      </c>
      <c r="AJ17" s="83">
        <f>M17-X17</f>
        <v>-1.0549112196684973E-2</v>
      </c>
      <c r="AK17" s="82"/>
      <c r="AL17" s="404"/>
    </row>
    <row r="18" spans="1:38" s="75" customFormat="1">
      <c r="A18" s="224"/>
      <c r="B18" s="1290" t="s">
        <v>431</v>
      </c>
      <c r="C18" s="1291"/>
      <c r="D18" s="940">
        <f>VLOOKUP(D14,$C$66:$D$76,2,FALSE)</f>
        <v>2</v>
      </c>
      <c r="E18" s="941">
        <f t="shared" ref="E18:R18" si="17">VLOOKUP(E14,$C$66:$D$76,2,FALSE)</f>
        <v>1</v>
      </c>
      <c r="F18" s="942">
        <f t="shared" si="17"/>
        <v>3</v>
      </c>
      <c r="G18" s="940">
        <f>VLOOKUP(G14,$C$66:$D$76,2,FALSE)</f>
        <v>9</v>
      </c>
      <c r="H18" s="941">
        <f t="shared" si="17"/>
        <v>8</v>
      </c>
      <c r="I18" s="942">
        <f t="shared" si="17"/>
        <v>9</v>
      </c>
      <c r="J18" s="940">
        <f>VLOOKUP(J14,$C$66:$D$76,2,FALSE)</f>
        <v>4</v>
      </c>
      <c r="K18" s="941">
        <f t="shared" si="17"/>
        <v>3</v>
      </c>
      <c r="L18" s="942">
        <f t="shared" si="17"/>
        <v>5</v>
      </c>
      <c r="M18" s="940">
        <f>VLOOKUP(M14,$C$66:$D$76,2,FALSE)</f>
        <v>4</v>
      </c>
      <c r="N18" s="941">
        <f t="shared" si="17"/>
        <v>3</v>
      </c>
      <c r="O18" s="942">
        <f t="shared" si="17"/>
        <v>5</v>
      </c>
      <c r="P18" s="940">
        <f>VLOOKUP(P14,$C$66:$D$76,2,FALSE)</f>
        <v>4</v>
      </c>
      <c r="Q18" s="941">
        <f t="shared" si="17"/>
        <v>3</v>
      </c>
      <c r="R18" s="942">
        <f t="shared" si="17"/>
        <v>5</v>
      </c>
      <c r="S18" s="827"/>
      <c r="T18" s="753"/>
      <c r="U18" s="1027">
        <v>1</v>
      </c>
      <c r="V18" s="1028">
        <v>3</v>
      </c>
      <c r="W18" s="1028">
        <v>1</v>
      </c>
      <c r="X18" s="1028">
        <v>2</v>
      </c>
      <c r="Y18" s="1028">
        <v>2</v>
      </c>
      <c r="Z18" s="950"/>
      <c r="AA18" s="824"/>
      <c r="AB18" s="825"/>
      <c r="AC18" s="753"/>
      <c r="AD18" s="753"/>
      <c r="AE18" s="754"/>
      <c r="AF18" s="762"/>
      <c r="AG18" s="825"/>
      <c r="AH18" s="753"/>
      <c r="AI18" s="753"/>
      <c r="AJ18" s="754"/>
      <c r="AK18" s="753"/>
      <c r="AL18" s="288"/>
    </row>
    <row r="19" spans="1:38" s="75" customFormat="1">
      <c r="A19" s="224"/>
      <c r="B19" s="1292"/>
      <c r="C19" s="1293"/>
      <c r="D19" s="778"/>
      <c r="E19" s="769" t="s">
        <v>135</v>
      </c>
      <c r="F19" s="939" t="s">
        <v>136</v>
      </c>
      <c r="G19" s="778"/>
      <c r="H19" s="769" t="s">
        <v>135</v>
      </c>
      <c r="I19" s="939" t="s">
        <v>136</v>
      </c>
      <c r="J19" s="778"/>
      <c r="K19" s="769" t="s">
        <v>135</v>
      </c>
      <c r="L19" s="939" t="s">
        <v>136</v>
      </c>
      <c r="M19" s="778"/>
      <c r="N19" s="769" t="s">
        <v>135</v>
      </c>
      <c r="O19" s="939" t="s">
        <v>136</v>
      </c>
      <c r="P19" s="778"/>
      <c r="Q19" s="769" t="s">
        <v>135</v>
      </c>
      <c r="R19" s="939" t="s">
        <v>136</v>
      </c>
      <c r="S19" s="827"/>
      <c r="T19" s="753"/>
      <c r="U19" s="927"/>
      <c r="V19" s="928"/>
      <c r="W19" s="928"/>
      <c r="X19" s="928"/>
      <c r="Y19" s="928"/>
      <c r="Z19" s="754"/>
      <c r="AA19" s="754"/>
      <c r="AB19" s="825"/>
      <c r="AC19" s="826"/>
      <c r="AD19" s="826"/>
      <c r="AE19" s="754"/>
      <c r="AF19" s="753"/>
      <c r="AG19" s="825"/>
      <c r="AH19" s="826"/>
      <c r="AI19" s="826"/>
      <c r="AJ19" s="754"/>
      <c r="AK19" s="753"/>
      <c r="AL19" s="288"/>
    </row>
    <row r="20" spans="1:38">
      <c r="A20" s="222" t="s">
        <v>6</v>
      </c>
      <c r="B20" s="912" t="s">
        <v>146</v>
      </c>
      <c r="C20" s="197" t="s">
        <v>11</v>
      </c>
      <c r="D20" s="85">
        <f>IF($S$20=1,$S$10*D90+(1-$S$10)*D91,$S$10*D96+(1-$S$10)*D97)</f>
        <v>0.5</v>
      </c>
      <c r="E20" s="921">
        <f t="shared" ref="E20:R20" si="18">IF($S$20=1,$S$10*E90+(1-$S$10)*E91,$S$10*E96+(1-$S$10)*E97)</f>
        <v>0.47499999999999998</v>
      </c>
      <c r="F20" s="921">
        <f t="shared" si="18"/>
        <v>0.52500000000000002</v>
      </c>
      <c r="G20" s="85">
        <f t="shared" si="18"/>
        <v>0.6</v>
      </c>
      <c r="H20" s="921">
        <f t="shared" si="18"/>
        <v>0.57499999999999996</v>
      </c>
      <c r="I20" s="921">
        <f t="shared" si="18"/>
        <v>0.625</v>
      </c>
      <c r="J20" s="86">
        <f t="shared" si="18"/>
        <v>0.6</v>
      </c>
      <c r="K20" s="921">
        <f t="shared" si="18"/>
        <v>0.57499999999999996</v>
      </c>
      <c r="L20" s="921">
        <f t="shared" si="18"/>
        <v>0.625</v>
      </c>
      <c r="M20" s="85">
        <f t="shared" si="18"/>
        <v>0.6</v>
      </c>
      <c r="N20" s="921">
        <f t="shared" si="18"/>
        <v>0.57499999999999996</v>
      </c>
      <c r="O20" s="921">
        <f t="shared" si="18"/>
        <v>0.625</v>
      </c>
      <c r="P20" s="86">
        <f t="shared" si="18"/>
        <v>0.6</v>
      </c>
      <c r="Q20" s="921">
        <f t="shared" si="18"/>
        <v>0.57499999999999996</v>
      </c>
      <c r="R20" s="921">
        <f t="shared" si="18"/>
        <v>0.625</v>
      </c>
      <c r="S20" s="929">
        <f>IF($B$20="Hamada",100%,0%)</f>
        <v>1</v>
      </c>
      <c r="T20" s="828"/>
      <c r="U20" s="983">
        <f>U23/(1+(1-U7)*U12)</f>
        <v>0.58346199418333278</v>
      </c>
      <c r="V20" s="984">
        <f>V23/(1+(1-V7)*V12)</f>
        <v>0.57867691310587477</v>
      </c>
      <c r="W20" s="984">
        <f>W23/(1+(1-W7)*W12)</f>
        <v>0.60107647332040115</v>
      </c>
      <c r="X20" s="984">
        <f>X23/(1+(1-X7)*X12)</f>
        <v>0.6120051364716812</v>
      </c>
      <c r="Y20" s="984">
        <f>Y23/(1+(1-Y7)*Y12)</f>
        <v>0.60107647332040115</v>
      </c>
      <c r="Z20" s="946" t="s">
        <v>378</v>
      </c>
      <c r="AA20" s="484"/>
      <c r="AB20" s="967">
        <f>IF($S$20=1,D20-'WACC BIPT &amp; Cullen 2013'!D20,'For Simulations'!D21-'WACC BIPT &amp; Cullen 2013'!D20)</f>
        <v>0</v>
      </c>
      <c r="AC20" s="968">
        <f>IF($S$20=1,J20-'WACC BIPT &amp; Cullen 2013'!J20,'For Simulations'!J21-'WACC BIPT &amp; Cullen 2013'!J20)</f>
        <v>0</v>
      </c>
      <c r="AD20" s="968">
        <f>IF($S$20=1,P20-'WACC BIPT &amp; Cullen 2013'!P20,'For Simulations'!P21-'WACC BIPT &amp; Cullen 2013'!P20)</f>
        <v>0</v>
      </c>
      <c r="AE20" s="469">
        <f>IF($S$20=1,M20-'WACC BIPT &amp; Cullen 2013'!M20,'For Simulations'!M21-'WACC BIPT &amp; Cullen 2013'!M20)</f>
        <v>0</v>
      </c>
      <c r="AF20" s="383" t="s">
        <v>468</v>
      </c>
      <c r="AG20" s="967">
        <f>IF($S$20=1,D20-U20,D21-U20)</f>
        <v>-8.3461994183332777E-2</v>
      </c>
      <c r="AH20" s="968">
        <f>IF($S$20=1,J20-V20,J21-V20)</f>
        <v>2.1323086894125209E-2</v>
      </c>
      <c r="AI20" s="968">
        <f>IF($S$20=1,P20-Y20,P21-Y20)</f>
        <v>-1.0764733204011723E-3</v>
      </c>
      <c r="AJ20" s="469">
        <f>IF($S$20=1,M20-X20,M21-X20)</f>
        <v>-1.2005136471681221E-2</v>
      </c>
      <c r="AK20" s="541"/>
    </row>
    <row r="21" spans="1:38" s="52" customFormat="1">
      <c r="A21" s="221"/>
      <c r="B21" s="453" t="str">
        <f>IF(S20=1, "(Harris-P equivalent)", "(Hamada equivalent)")</f>
        <v>(Harris-P equivalent)</v>
      </c>
      <c r="C21" s="893"/>
      <c r="D21" s="89">
        <f t="shared" ref="D21:R21" si="19">D23/(1+(1-(1-$S$20)*D7)*D12)</f>
        <v>0.38651881709439689</v>
      </c>
      <c r="E21" s="90">
        <f t="shared" si="19"/>
        <v>0.42280132213134608</v>
      </c>
      <c r="F21" s="91">
        <f t="shared" si="19"/>
        <v>0.34833773275982655</v>
      </c>
      <c r="G21" s="89">
        <f t="shared" si="19"/>
        <v>0.41748492617137278</v>
      </c>
      <c r="H21" s="90">
        <f t="shared" si="19"/>
        <v>0.40087279720583147</v>
      </c>
      <c r="I21" s="91">
        <f t="shared" si="19"/>
        <v>0.37170826721246158</v>
      </c>
      <c r="J21" s="89">
        <f t="shared" si="19"/>
        <v>0.47044097347598601</v>
      </c>
      <c r="K21" s="90">
        <f t="shared" si="19"/>
        <v>0.43317149559936213</v>
      </c>
      <c r="L21" s="91">
        <f t="shared" si="19"/>
        <v>0.39072006535408976</v>
      </c>
      <c r="M21" s="89">
        <f t="shared" si="19"/>
        <v>0.50181073715404911</v>
      </c>
      <c r="N21" s="90">
        <f t="shared" si="19"/>
        <v>0.50793099719221313</v>
      </c>
      <c r="O21" s="91">
        <f t="shared" si="19"/>
        <v>0.42062145993532973</v>
      </c>
      <c r="P21" s="89">
        <f t="shared" si="19"/>
        <v>0.50370612893485445</v>
      </c>
      <c r="Q21" s="90">
        <f t="shared" si="19"/>
        <v>0.49116374649026656</v>
      </c>
      <c r="R21" s="91">
        <f t="shared" si="19"/>
        <v>0.49059661039265229</v>
      </c>
      <c r="S21" s="929"/>
      <c r="T21" s="893"/>
      <c r="U21" s="88">
        <v>0.52</v>
      </c>
      <c r="V21" s="86">
        <v>0.5</v>
      </c>
      <c r="W21" s="88">
        <v>0.55000000000000004</v>
      </c>
      <c r="X21" s="88">
        <v>0.56000000000000005</v>
      </c>
      <c r="Y21" s="86">
        <v>0.55000000000000004</v>
      </c>
      <c r="Z21" s="383" t="s">
        <v>439</v>
      </c>
      <c r="AA21" s="484"/>
      <c r="AB21" s="967"/>
      <c r="AC21" s="541"/>
      <c r="AD21" s="541"/>
      <c r="AE21" s="469"/>
      <c r="AF21" s="457"/>
      <c r="AG21" s="967"/>
      <c r="AH21" s="541"/>
      <c r="AI21" s="541"/>
      <c r="AJ21" s="469"/>
      <c r="AK21" s="542"/>
      <c r="AL21" s="365"/>
    </row>
    <row r="22" spans="1:38" s="92" customFormat="1">
      <c r="A22" s="225" t="s">
        <v>419</v>
      </c>
      <c r="B22" s="890" t="s">
        <v>420</v>
      </c>
      <c r="D22" s="89">
        <f t="shared" ref="D22:R22" si="20">(D15*INDEX($R$114:$R$124,D18,1)-INDEX($E$100:$Q$110,D18,D8))/D5</f>
        <v>0.17232685542191742</v>
      </c>
      <c r="E22" s="90">
        <f t="shared" si="20"/>
        <v>0.15079668132596494</v>
      </c>
      <c r="F22" s="91">
        <f t="shared" si="20"/>
        <v>0.26492506359695023</v>
      </c>
      <c r="G22" s="89">
        <f t="shared" si="20"/>
        <v>0.40001116314399598</v>
      </c>
      <c r="H22" s="90">
        <f t="shared" si="20"/>
        <v>0.382234758866629</v>
      </c>
      <c r="I22" s="91">
        <f t="shared" si="20"/>
        <v>0.4456081890245065</v>
      </c>
      <c r="J22" s="89">
        <f t="shared" si="20"/>
        <v>0.22151118186029947</v>
      </c>
      <c r="K22" s="90">
        <f t="shared" si="20"/>
        <v>0.21194139378720453</v>
      </c>
      <c r="L22" s="91">
        <f t="shared" si="20"/>
        <v>0.35687592590692191</v>
      </c>
      <c r="M22" s="89">
        <f t="shared" si="20"/>
        <v>0.22151118186029947</v>
      </c>
      <c r="N22" s="90">
        <f t="shared" si="20"/>
        <v>0.21194139378720453</v>
      </c>
      <c r="O22" s="91">
        <f t="shared" si="20"/>
        <v>0.35687592590692191</v>
      </c>
      <c r="P22" s="89">
        <f t="shared" si="20"/>
        <v>0.22151118186029947</v>
      </c>
      <c r="Q22" s="90">
        <f t="shared" si="20"/>
        <v>0.21194139378720453</v>
      </c>
      <c r="R22" s="91">
        <f t="shared" si="20"/>
        <v>0.35687592590692191</v>
      </c>
      <c r="S22" s="935"/>
      <c r="U22" s="952"/>
      <c r="V22" s="393"/>
      <c r="W22" s="393"/>
      <c r="X22" s="393"/>
      <c r="Y22" s="393"/>
      <c r="Z22" s="951"/>
      <c r="AA22" s="294"/>
      <c r="AB22" s="405"/>
      <c r="AE22" s="294"/>
      <c r="AG22" s="405"/>
      <c r="AJ22" s="294"/>
      <c r="AK22" s="161"/>
      <c r="AL22" s="405"/>
    </row>
    <row r="23" spans="1:38" s="92" customFormat="1">
      <c r="A23" s="225" t="s">
        <v>12</v>
      </c>
      <c r="B23" s="890" t="s">
        <v>147</v>
      </c>
      <c r="D23" s="89">
        <f>D20*(1+(1-$S$20*D7)*D12)-D22*(1-$S$20*D7)*D12</f>
        <v>0.64419802849066155</v>
      </c>
      <c r="E23" s="90">
        <f t="shared" ref="E23:R23" si="21">E20*(1+(1-$S$20*E7)*E12)-E22*(1-$S$20*E7)*E12</f>
        <v>0.52850165266418259</v>
      </c>
      <c r="F23" s="91">
        <f t="shared" si="21"/>
        <v>0.69667546551965309</v>
      </c>
      <c r="G23" s="89">
        <f t="shared" si="21"/>
        <v>0.68440151831372587</v>
      </c>
      <c r="H23" s="90">
        <f t="shared" si="21"/>
        <v>0.65597366815499691</v>
      </c>
      <c r="I23" s="91">
        <f t="shared" si="21"/>
        <v>0.74341653442492317</v>
      </c>
      <c r="J23" s="89">
        <f>J20*(1+(1-$S$20*J7)*J12)-J22*(1-$S$20*J7)*J12</f>
        <v>0.74673170393013655</v>
      </c>
      <c r="K23" s="90">
        <f t="shared" si="21"/>
        <v>0.75064345437267765</v>
      </c>
      <c r="L23" s="91">
        <f t="shared" si="21"/>
        <v>0.81900475714421272</v>
      </c>
      <c r="M23" s="89">
        <f t="shared" si="21"/>
        <v>0.6973593100145119</v>
      </c>
      <c r="N23" s="90">
        <f t="shared" si="21"/>
        <v>0.63491374649026644</v>
      </c>
      <c r="O23" s="91">
        <f t="shared" si="21"/>
        <v>0.77347220293925645</v>
      </c>
      <c r="P23" s="89">
        <f>P20*(1+(1-$S$20*P7)*P12)-P22*(1-$S$20*P7)*P12</f>
        <v>0.69476707439290275</v>
      </c>
      <c r="Q23" s="90">
        <f t="shared" si="21"/>
        <v>0.65488499532035538</v>
      </c>
      <c r="R23" s="91">
        <f t="shared" si="21"/>
        <v>0.70085230056093184</v>
      </c>
      <c r="S23" s="936"/>
      <c r="T23" s="73"/>
      <c r="U23" s="89">
        <f>U21*(1+U12)</f>
        <v>0.76470588235294124</v>
      </c>
      <c r="V23" s="161">
        <f>V21*(1+V12)</f>
        <v>0.83333333333333337</v>
      </c>
      <c r="W23" s="161">
        <f>W21*(1+W12)</f>
        <v>0.73333333333333339</v>
      </c>
      <c r="X23" s="161">
        <f>X21*(1+X12)</f>
        <v>0.7466666666666667</v>
      </c>
      <c r="Y23" s="161">
        <f>Y21*(1+Y12)</f>
        <v>0.73333333333333339</v>
      </c>
      <c r="Z23" s="484" t="s">
        <v>286</v>
      </c>
      <c r="AA23" s="484"/>
      <c r="AB23" s="388">
        <f>D23-'WACC BIPT &amp; Cullen 2013'!D23</f>
        <v>0</v>
      </c>
      <c r="AC23" s="1008">
        <f>J23-'WACC BIPT &amp; Cullen 2013'!J23</f>
        <v>-7.7448233522136811E-2</v>
      </c>
      <c r="AD23" s="1008">
        <f>P23-'WACC BIPT &amp; Cullen 2013'!P23</f>
        <v>0</v>
      </c>
      <c r="AE23" s="456">
        <f>M23-'WACC BIPT &amp; Cullen 2013'!M23</f>
        <v>0</v>
      </c>
      <c r="AF23" s="383" t="s">
        <v>147</v>
      </c>
      <c r="AG23" s="388">
        <f>D23-U23</f>
        <v>-0.12050785386227969</v>
      </c>
      <c r="AH23" s="1008">
        <f>J23-V23</f>
        <v>-8.6601629403196823E-2</v>
      </c>
      <c r="AI23" s="1008">
        <f>P23-Y23</f>
        <v>-3.8566258940430642E-2</v>
      </c>
      <c r="AJ23" s="456">
        <f>M23-X23</f>
        <v>-4.9307356652154799E-2</v>
      </c>
      <c r="AK23" s="543"/>
      <c r="AL23" s="405"/>
    </row>
    <row r="24" spans="1:38" s="92" customFormat="1">
      <c r="A24" s="226" t="s">
        <v>179</v>
      </c>
      <c r="B24" s="992" t="s">
        <v>350</v>
      </c>
      <c r="C24" s="546" t="s">
        <v>176</v>
      </c>
      <c r="D24" s="85">
        <f>D92*$S$24+D23*(1-$S$24)</f>
        <v>0.8</v>
      </c>
      <c r="E24" s="921">
        <f t="shared" ref="E24:R24" si="22">E92*$S$24+E23*(1-$S$24)</f>
        <v>0.70000000000000007</v>
      </c>
      <c r="F24" s="921">
        <f t="shared" si="22"/>
        <v>0.9</v>
      </c>
      <c r="G24" s="85">
        <f t="shared" si="22"/>
        <v>0.8</v>
      </c>
      <c r="H24" s="921">
        <f t="shared" si="22"/>
        <v>0.70000000000000007</v>
      </c>
      <c r="I24" s="921">
        <f t="shared" si="22"/>
        <v>0.9</v>
      </c>
      <c r="J24" s="86">
        <f t="shared" si="22"/>
        <v>0.8</v>
      </c>
      <c r="K24" s="921">
        <f t="shared" si="22"/>
        <v>0.70000000000000007</v>
      </c>
      <c r="L24" s="921">
        <f t="shared" si="22"/>
        <v>0.9</v>
      </c>
      <c r="M24" s="85">
        <f t="shared" si="22"/>
        <v>0.8</v>
      </c>
      <c r="N24" s="921">
        <f t="shared" si="22"/>
        <v>0.70000000000000007</v>
      </c>
      <c r="O24" s="921">
        <f t="shared" si="22"/>
        <v>0.9</v>
      </c>
      <c r="P24" s="86">
        <f t="shared" si="22"/>
        <v>0.8</v>
      </c>
      <c r="Q24" s="921">
        <f t="shared" si="22"/>
        <v>0.70000000000000007</v>
      </c>
      <c r="R24" s="921">
        <f t="shared" si="22"/>
        <v>0.9</v>
      </c>
      <c r="S24" s="929">
        <f>IF($C$24="Yes",1,0)</f>
        <v>1</v>
      </c>
      <c r="T24" s="73"/>
      <c r="U24" s="89"/>
      <c r="V24" s="161"/>
      <c r="W24" s="161"/>
      <c r="X24" s="161"/>
      <c r="Y24" s="161"/>
      <c r="Z24" s="293"/>
      <c r="AA24" s="293"/>
      <c r="AB24" s="388">
        <f>D24-'WACC BIPT &amp; Cullen 2013'!D24</f>
        <v>0</v>
      </c>
      <c r="AC24" s="1008">
        <f>J24-'WACC BIPT &amp; Cullen 2013'!J24</f>
        <v>0</v>
      </c>
      <c r="AD24" s="1008">
        <f>P24-'WACC BIPT &amp; Cullen 2013'!P24</f>
        <v>0</v>
      </c>
      <c r="AE24" s="456">
        <f>M24-'WACC BIPT &amp; Cullen 2013'!M24</f>
        <v>0</v>
      </c>
      <c r="AF24" s="1029" t="s">
        <v>371</v>
      </c>
      <c r="AG24" s="969">
        <f>D24-U23</f>
        <v>3.5294117647058809E-2</v>
      </c>
      <c r="AH24" s="543">
        <f>J24-V23</f>
        <v>-3.3333333333333326E-2</v>
      </c>
      <c r="AI24" s="543">
        <f>P24-Y23</f>
        <v>6.6666666666666652E-2</v>
      </c>
      <c r="AJ24" s="471">
        <f>M24-X23</f>
        <v>5.3333333333333344E-2</v>
      </c>
      <c r="AK24" s="82"/>
      <c r="AL24" s="405"/>
    </row>
    <row r="25" spans="1:38" s="92" customFormat="1">
      <c r="A25" s="225" t="s">
        <v>13</v>
      </c>
      <c r="B25" s="448" t="s">
        <v>451</v>
      </c>
      <c r="C25" s="245"/>
      <c r="D25" s="99">
        <f t="shared" ref="D25:R25" si="23">D3+D24*D4+D23*D5</f>
        <v>6.6118855163960266E-2</v>
      </c>
      <c r="E25" s="57">
        <f t="shared" si="23"/>
        <v>5.3202574818457984E-2</v>
      </c>
      <c r="F25" s="130">
        <f t="shared" si="23"/>
        <v>8.0952854967724683E-2</v>
      </c>
      <c r="G25" s="99">
        <f t="shared" si="23"/>
        <v>6.8284005715414042E-2</v>
      </c>
      <c r="H25" s="57">
        <f t="shared" si="23"/>
        <v>5.9748873562655541E-2</v>
      </c>
      <c r="I25" s="130">
        <f t="shared" si="23"/>
        <v>8.3586938148114701E-2</v>
      </c>
      <c r="J25" s="99">
        <f t="shared" si="23"/>
        <v>7.1640784849601707E-2</v>
      </c>
      <c r="K25" s="57">
        <f t="shared" si="23"/>
        <v>6.4610620670395538E-2</v>
      </c>
      <c r="L25" s="130">
        <f t="shared" si="23"/>
        <v>8.7846696659499665E-2</v>
      </c>
      <c r="M25" s="99">
        <f t="shared" si="23"/>
        <v>6.8981844882363308E-2</v>
      </c>
      <c r="N25" s="57">
        <f t="shared" si="23"/>
        <v>5.8667345682078029E-2</v>
      </c>
      <c r="O25" s="130">
        <f t="shared" si="23"/>
        <v>8.5280719072753697E-2</v>
      </c>
      <c r="P25" s="99">
        <f t="shared" si="23"/>
        <v>6.8842240574122249E-2</v>
      </c>
      <c r="Q25" s="57">
        <f t="shared" si="23"/>
        <v>5.9692964996506226E-2</v>
      </c>
      <c r="R25" s="130">
        <f t="shared" si="23"/>
        <v>8.1188239634510842E-2</v>
      </c>
      <c r="S25" s="547"/>
      <c r="T25" s="73"/>
      <c r="U25" s="953">
        <f>U3+U23*U5</f>
        <v>8.0147058823529405E-2</v>
      </c>
      <c r="V25" s="955">
        <f>V3+V23*V5</f>
        <v>8.3749999999999991E-2</v>
      </c>
      <c r="W25" s="955">
        <f>W3+W23*W5</f>
        <v>7.85E-2</v>
      </c>
      <c r="X25" s="955">
        <f>X3+X23*X5</f>
        <v>7.9199999999999993E-2</v>
      </c>
      <c r="Y25" s="955">
        <f>Y3+Y23*Y5</f>
        <v>7.85E-2</v>
      </c>
      <c r="Z25" s="536" t="s">
        <v>287</v>
      </c>
      <c r="AA25" s="536"/>
      <c r="AB25" s="89">
        <f>D25-'WACC BIPT &amp; Cullen 2013'!D25</f>
        <v>0</v>
      </c>
      <c r="AC25" s="161">
        <f>J25-'WACC BIPT &amp; Cullen 2013'!J25</f>
        <v>-4.1709584480742051E-3</v>
      </c>
      <c r="AD25" s="161">
        <f>P25-'WACC BIPT &amp; Cullen 2013'!P25</f>
        <v>0</v>
      </c>
      <c r="AE25" s="446">
        <f>M25-'WACC BIPT &amp; Cullen 2013'!M25</f>
        <v>0</v>
      </c>
      <c r="AF25" s="604" t="s">
        <v>372</v>
      </c>
      <c r="AG25" s="99">
        <f>D25-U25</f>
        <v>-1.4028203659569138E-2</v>
      </c>
      <c r="AH25" s="100">
        <f>J25-V25</f>
        <v>-1.2109215150398284E-2</v>
      </c>
      <c r="AI25" s="100">
        <f>P25-Y25</f>
        <v>-9.6577594258777516E-3</v>
      </c>
      <c r="AJ25" s="83">
        <f>M25-X25</f>
        <v>-1.0218155117636685E-2</v>
      </c>
      <c r="AK25" s="250"/>
      <c r="AL25" s="405"/>
    </row>
    <row r="26" spans="1:38" s="92" customFormat="1">
      <c r="A26" s="225"/>
      <c r="B26" s="890" t="s">
        <v>288</v>
      </c>
      <c r="C26" s="245"/>
      <c r="D26" s="99">
        <f t="shared" ref="D26:R26" si="24">D24*D4</f>
        <v>5.1225495045285653E-3</v>
      </c>
      <c r="E26" s="94">
        <f t="shared" si="24"/>
        <v>4.5178458343599556E-3</v>
      </c>
      <c r="F26" s="101">
        <f t="shared" si="24"/>
        <v>6.9006520133374953E-3</v>
      </c>
      <c r="G26" s="99">
        <f t="shared" si="24"/>
        <v>5.1225495045285653E-3</v>
      </c>
      <c r="H26" s="94">
        <f t="shared" si="24"/>
        <v>4.5178458343599556E-3</v>
      </c>
      <c r="I26" s="101">
        <f t="shared" si="24"/>
        <v>6.9006520133374953E-3</v>
      </c>
      <c r="J26" s="99">
        <f t="shared" si="24"/>
        <v>5.1225495045285653E-3</v>
      </c>
      <c r="K26" s="94">
        <f t="shared" si="24"/>
        <v>4.5178458343599556E-3</v>
      </c>
      <c r="L26" s="101">
        <f t="shared" si="24"/>
        <v>6.9006520133374953E-3</v>
      </c>
      <c r="M26" s="99">
        <f t="shared" si="24"/>
        <v>5.1225495045285653E-3</v>
      </c>
      <c r="N26" s="94">
        <f t="shared" si="24"/>
        <v>4.5178458343599556E-3</v>
      </c>
      <c r="O26" s="101">
        <f t="shared" si="24"/>
        <v>6.9006520133374953E-3</v>
      </c>
      <c r="P26" s="99">
        <f t="shared" si="24"/>
        <v>5.1225495045285653E-3</v>
      </c>
      <c r="Q26" s="94">
        <f t="shared" si="24"/>
        <v>4.5178458343599556E-3</v>
      </c>
      <c r="R26" s="101">
        <f t="shared" si="24"/>
        <v>6.9006520133374953E-3</v>
      </c>
      <c r="S26" s="932"/>
      <c r="T26" s="73"/>
      <c r="U26" s="953"/>
      <c r="V26" s="954"/>
      <c r="W26" s="955"/>
      <c r="X26" s="955"/>
      <c r="Y26" s="954"/>
      <c r="Z26" s="445"/>
      <c r="AA26" s="445"/>
      <c r="AB26" s="1037">
        <f>AB25+D26-'WACC BIPT &amp; Cullen 2013'!D26</f>
        <v>0</v>
      </c>
      <c r="AC26" s="90">
        <f>AC25+J26-'WACC BIPT &amp; Cullen 2013'!J26</f>
        <v>-4.1709584480742051E-3</v>
      </c>
      <c r="AD26" s="90">
        <f>AD25+P26-'WACC BIPT &amp; Cullen 2013'!P26</f>
        <v>0</v>
      </c>
      <c r="AE26" s="91">
        <f>AE25+M26-'WACC BIPT &amp; Cullen 2013'!M26</f>
        <v>0</v>
      </c>
      <c r="AF26" s="893" t="s">
        <v>467</v>
      </c>
      <c r="AG26" s="389">
        <f>AG25-D26</f>
        <v>-1.9150753164097704E-2</v>
      </c>
      <c r="AH26" s="250">
        <f>AH25-J26</f>
        <v>-1.7231764654926849E-2</v>
      </c>
      <c r="AI26" s="250">
        <f>AI25-P26</f>
        <v>-1.4780308930406317E-2</v>
      </c>
      <c r="AJ26" s="251">
        <f>AJ25-M26</f>
        <v>-1.534070462216525E-2</v>
      </c>
      <c r="AK26" s="893"/>
      <c r="AL26" s="405"/>
    </row>
    <row r="27" spans="1:38">
      <c r="A27" s="226"/>
      <c r="B27" s="448"/>
      <c r="C27" s="245"/>
      <c r="D27" s="96"/>
      <c r="E27" s="985"/>
      <c r="F27" s="986"/>
      <c r="G27" s="96"/>
      <c r="H27" s="985"/>
      <c r="I27" s="986"/>
      <c r="J27" s="96"/>
      <c r="K27" s="985"/>
      <c r="L27" s="986"/>
      <c r="M27" s="96"/>
      <c r="N27" s="985"/>
      <c r="O27" s="986"/>
      <c r="P27" s="96"/>
      <c r="Q27" s="985"/>
      <c r="R27" s="986"/>
      <c r="S27" s="937"/>
      <c r="T27" s="73"/>
      <c r="U27" s="465"/>
      <c r="V27" s="954"/>
      <c r="W27" s="955"/>
      <c r="X27" s="955"/>
      <c r="Y27" s="954"/>
      <c r="Z27" s="445"/>
      <c r="AA27" s="445"/>
      <c r="AB27" s="349"/>
      <c r="AC27" s="111"/>
      <c r="AD27" s="95"/>
      <c r="AE27" s="484"/>
      <c r="AF27" s="95"/>
      <c r="AG27" s="349"/>
      <c r="AH27" s="111"/>
      <c r="AI27" s="95"/>
      <c r="AJ27" s="484"/>
      <c r="AK27" s="82"/>
    </row>
    <row r="28" spans="1:38" s="523" customFormat="1">
      <c r="A28" s="988" t="s">
        <v>17</v>
      </c>
      <c r="B28" s="1087" t="s">
        <v>266</v>
      </c>
      <c r="C28" s="1087"/>
      <c r="D28" s="1088">
        <f t="shared" ref="D28:R28" si="25">(1-D11)/(1-D7)*D25+D11*D17</f>
        <v>7.6172970707316712E-2</v>
      </c>
      <c r="E28" s="94">
        <f t="shared" si="25"/>
        <v>7.1212601326553715E-2</v>
      </c>
      <c r="F28" s="101">
        <f t="shared" si="25"/>
        <v>8.8911716298802679E-2</v>
      </c>
      <c r="G28" s="1089">
        <f t="shared" si="25"/>
        <v>9.9342237948860379E-2</v>
      </c>
      <c r="H28" s="94">
        <f t="shared" si="25"/>
        <v>8.4514170663426536E-2</v>
      </c>
      <c r="I28" s="101">
        <f t="shared" si="25"/>
        <v>0.11640022238238792</v>
      </c>
      <c r="J28" s="1040">
        <f>(1-J11)/(1-J7)*J25+J11*J17</f>
        <v>8.4820854324598294E-2</v>
      </c>
      <c r="K28" s="94">
        <f t="shared" si="25"/>
        <v>7.2207604525637056E-2</v>
      </c>
      <c r="L28" s="101">
        <f t="shared" si="25"/>
        <v>9.696784565958988E-2</v>
      </c>
      <c r="M28" s="1089">
        <f t="shared" si="25"/>
        <v>8.7662972620182106E-2</v>
      </c>
      <c r="N28" s="94">
        <f t="shared" si="25"/>
        <v>7.8536979091268749E-2</v>
      </c>
      <c r="O28" s="101">
        <f t="shared" si="25"/>
        <v>9.9463065436832199E-2</v>
      </c>
      <c r="P28" s="1040">
        <f t="shared" si="25"/>
        <v>8.7834696185358122E-2</v>
      </c>
      <c r="Q28" s="94">
        <f t="shared" si="25"/>
        <v>7.7117410904385356E-2</v>
      </c>
      <c r="R28" s="101">
        <f t="shared" si="25"/>
        <v>0.10530237098702089</v>
      </c>
      <c r="S28" s="933"/>
      <c r="T28" s="73"/>
      <c r="U28" s="1090">
        <f>(1-U11)/(1-U7)*U25+U11*U17</f>
        <v>0.10016324799272837</v>
      </c>
      <c r="V28" s="1007">
        <f>(1-V11)/(1-V7)*V25+V11*V17</f>
        <v>9.8924829571277073E-2</v>
      </c>
      <c r="W28" s="1091">
        <f>(1-W11)/(1-W7)*W25+W11*W17</f>
        <v>0.10294103166186941</v>
      </c>
      <c r="X28" s="1091">
        <f>(1-X11)/(1-X7)*X25+X11*X17</f>
        <v>0.10373636570216634</v>
      </c>
      <c r="Y28" s="1007">
        <f>(1-Y11)/(1-Y7)*Y25+Y11*Y17</f>
        <v>0.10294103166186941</v>
      </c>
      <c r="Z28" s="537" t="s">
        <v>280</v>
      </c>
      <c r="AA28" s="537"/>
      <c r="AB28" s="1089">
        <f>D28-'WACC BIPT &amp; Cullen 2013'!D28</f>
        <v>0</v>
      </c>
      <c r="AC28" s="1042">
        <f>J28-'WACC BIPT &amp; Cullen 2013'!J28</f>
        <v>3.2655165058434327E-3</v>
      </c>
      <c r="AD28" s="1042">
        <f>P28-'WACC BIPT &amp; Cullen 2013'!P28</f>
        <v>0</v>
      </c>
      <c r="AE28" s="1096">
        <f>M28-'WACC BIPT &amp; Cullen 2013'!M28</f>
        <v>0</v>
      </c>
      <c r="AF28" s="605" t="s">
        <v>280</v>
      </c>
      <c r="AG28" s="1089">
        <f>D28-U28</f>
        <v>-2.3990277285411657E-2</v>
      </c>
      <c r="AH28" s="1128">
        <f>J28-V28</f>
        <v>-1.4103975246678779E-2</v>
      </c>
      <c r="AI28" s="1128">
        <f>P28-Y28</f>
        <v>-1.5106335476511287E-2</v>
      </c>
      <c r="AJ28" s="1096">
        <f>M28-X28</f>
        <v>-1.607339308198423E-2</v>
      </c>
      <c r="AK28" s="82"/>
      <c r="AL28" s="364"/>
    </row>
    <row r="29" spans="1:38" s="523" customFormat="1" ht="13.2" customHeight="1">
      <c r="A29" s="225" t="s">
        <v>18</v>
      </c>
      <c r="B29" s="900" t="s">
        <v>471</v>
      </c>
      <c r="C29" s="891"/>
      <c r="D29" s="99"/>
      <c r="E29" s="94"/>
      <c r="F29" s="101"/>
      <c r="G29" s="99"/>
      <c r="H29" s="94"/>
      <c r="I29" s="101"/>
      <c r="J29" s="99"/>
      <c r="K29" s="94"/>
      <c r="L29" s="101"/>
      <c r="M29" s="99"/>
      <c r="N29" s="94"/>
      <c r="O29" s="101"/>
      <c r="P29" s="1040">
        <f>P28-J28</f>
        <v>3.0138418607598277E-3</v>
      </c>
      <c r="Q29" s="94">
        <f t="shared" ref="Q29:R29" si="26">Q28-K28</f>
        <v>4.9098063787482993E-3</v>
      </c>
      <c r="R29" s="101">
        <f t="shared" si="26"/>
        <v>8.3345253274310083E-3</v>
      </c>
      <c r="S29" s="936"/>
      <c r="T29" s="73"/>
      <c r="U29" s="987"/>
      <c r="V29" s="958"/>
      <c r="W29" s="958"/>
      <c r="X29" s="958"/>
      <c r="Y29" s="1062">
        <f>Y28-V28</f>
        <v>4.0162020905923357E-3</v>
      </c>
      <c r="Z29" s="1085" t="s">
        <v>474</v>
      </c>
      <c r="AA29" s="444"/>
      <c r="AB29" s="99"/>
      <c r="AC29" s="100"/>
      <c r="AD29" s="1042">
        <f>AD28-AC28</f>
        <v>-3.2655165058434327E-3</v>
      </c>
      <c r="AE29" s="83"/>
      <c r="AF29" s="82" t="s">
        <v>474</v>
      </c>
      <c r="AG29" s="99"/>
      <c r="AH29" s="100"/>
      <c r="AI29" s="1128">
        <f>AI28-AH28</f>
        <v>-1.0023602298325079E-3</v>
      </c>
      <c r="AJ29" s="83"/>
      <c r="AK29" s="100"/>
      <c r="AL29" s="364"/>
    </row>
    <row r="30" spans="1:38" ht="13.2" customHeight="1">
      <c r="A30" s="227"/>
      <c r="B30" s="892"/>
      <c r="C30" s="893"/>
      <c r="D30" s="99"/>
      <c r="E30" s="922" t="s">
        <v>136</v>
      </c>
      <c r="F30" s="923" t="s">
        <v>135</v>
      </c>
      <c r="G30" s="915"/>
      <c r="H30" s="922" t="s">
        <v>136</v>
      </c>
      <c r="I30" s="923" t="s">
        <v>135</v>
      </c>
      <c r="J30" s="915"/>
      <c r="K30" s="922" t="s">
        <v>136</v>
      </c>
      <c r="L30" s="923" t="s">
        <v>135</v>
      </c>
      <c r="M30" s="915"/>
      <c r="N30" s="922" t="s">
        <v>136</v>
      </c>
      <c r="O30" s="923" t="s">
        <v>135</v>
      </c>
      <c r="P30" s="915"/>
      <c r="Q30" s="922" t="s">
        <v>136</v>
      </c>
      <c r="R30" s="923" t="s">
        <v>135</v>
      </c>
      <c r="S30" s="547"/>
      <c r="T30" s="73"/>
      <c r="U30" s="956"/>
      <c r="V30" s="957"/>
      <c r="W30" s="958"/>
      <c r="X30" s="958"/>
      <c r="Y30" s="957"/>
      <c r="Z30" s="444"/>
      <c r="AA30" s="444"/>
      <c r="AB30" s="350"/>
      <c r="AC30" s="100"/>
      <c r="AD30" s="100"/>
      <c r="AE30" s="444"/>
      <c r="AF30" s="100"/>
      <c r="AG30" s="350"/>
      <c r="AH30" s="100"/>
      <c r="AI30" s="100"/>
      <c r="AJ30" s="444"/>
      <c r="AK30" s="82"/>
    </row>
    <row r="31" spans="1:38">
      <c r="A31" s="227" t="s">
        <v>23</v>
      </c>
      <c r="B31" s="196" t="s">
        <v>4</v>
      </c>
      <c r="C31" s="197"/>
      <c r="D31" s="733">
        <f t="shared" ref="D31:I31" si="27">$J$31</f>
        <v>2.7898562271062275E-2</v>
      </c>
      <c r="E31" s="925">
        <f t="shared" si="27"/>
        <v>2.7898562271062275E-2</v>
      </c>
      <c r="F31" s="925">
        <f t="shared" si="27"/>
        <v>2.7898562271062275E-2</v>
      </c>
      <c r="G31" s="733">
        <f t="shared" si="27"/>
        <v>2.7898562271062275E-2</v>
      </c>
      <c r="H31" s="925">
        <f t="shared" si="27"/>
        <v>2.7898562271062275E-2</v>
      </c>
      <c r="I31" s="925">
        <f t="shared" si="27"/>
        <v>2.7898562271062275E-2</v>
      </c>
      <c r="J31" s="201">
        <f>$D$78/100</f>
        <v>2.7898562271062275E-2</v>
      </c>
      <c r="K31" s="925">
        <f t="shared" ref="K31:R31" si="28">$J$31</f>
        <v>2.7898562271062275E-2</v>
      </c>
      <c r="L31" s="925">
        <f t="shared" si="28"/>
        <v>2.7898562271062275E-2</v>
      </c>
      <c r="M31" s="733">
        <f t="shared" si="28"/>
        <v>2.7898562271062275E-2</v>
      </c>
      <c r="N31" s="925">
        <f t="shared" si="28"/>
        <v>2.7898562271062275E-2</v>
      </c>
      <c r="O31" s="925">
        <f t="shared" si="28"/>
        <v>2.7898562271062275E-2</v>
      </c>
      <c r="P31" s="733">
        <f t="shared" si="28"/>
        <v>2.7898562271062275E-2</v>
      </c>
      <c r="Q31" s="925">
        <f t="shared" si="28"/>
        <v>2.7898562271062275E-2</v>
      </c>
      <c r="R31" s="925">
        <f t="shared" si="28"/>
        <v>2.7898562271062275E-2</v>
      </c>
      <c r="S31" s="932"/>
      <c r="U31" s="46">
        <v>3.7999999999999999E-2</v>
      </c>
      <c r="V31" s="993">
        <f>$U$31</f>
        <v>3.7999999999999999E-2</v>
      </c>
      <c r="W31" s="994">
        <f>$U$31</f>
        <v>3.7999999999999999E-2</v>
      </c>
      <c r="X31" s="994">
        <f>$U$31</f>
        <v>3.7999999999999999E-2</v>
      </c>
      <c r="Y31" s="995">
        <f>$U$31</f>
        <v>3.7999999999999999E-2</v>
      </c>
      <c r="Z31" s="162" t="s">
        <v>4</v>
      </c>
      <c r="AA31" s="83"/>
      <c r="AB31" s="972">
        <f>D31-'WACC BIPT &amp; Cullen 2013'!D31</f>
        <v>0</v>
      </c>
      <c r="AC31" s="966">
        <f>J31-'WACC BIPT &amp; Cullen 2013'!J31</f>
        <v>0</v>
      </c>
      <c r="AD31" s="334">
        <f>P31-'WACC BIPT &amp; Cullen 2013'!P31</f>
        <v>0</v>
      </c>
      <c r="AE31" s="973">
        <f>M31-'WACC BIPT &amp; Cullen 2013'!M31</f>
        <v>0</v>
      </c>
      <c r="AF31" s="162" t="s">
        <v>4</v>
      </c>
      <c r="AG31" s="972">
        <f>D31-U31</f>
        <v>-1.0101437728937724E-2</v>
      </c>
      <c r="AH31" s="966">
        <f>J31-V31</f>
        <v>-1.0101437728937724E-2</v>
      </c>
      <c r="AI31" s="334">
        <f>K31-Y31</f>
        <v>-1.0101437728937724E-2</v>
      </c>
      <c r="AJ31" s="973">
        <f>M31-Y31</f>
        <v>-1.0101437728937724E-2</v>
      </c>
      <c r="AK31" s="95"/>
    </row>
    <row r="32" spans="1:38" ht="13.2" customHeight="1">
      <c r="A32" s="227"/>
      <c r="B32" s="896" t="s">
        <v>450</v>
      </c>
      <c r="C32" s="897"/>
      <c r="D32" s="99">
        <f t="shared" ref="D32:R32" si="29">D7/(1-D7)*(1-D11)*D31</f>
        <v>8.6193497796704134E-3</v>
      </c>
      <c r="E32" s="57">
        <f t="shared" si="29"/>
        <v>1.1492466372893884E-2</v>
      </c>
      <c r="F32" s="131">
        <f t="shared" si="29"/>
        <v>7.1827914830586773E-3</v>
      </c>
      <c r="G32" s="99">
        <f t="shared" si="29"/>
        <v>8.763005609331586E-3</v>
      </c>
      <c r="H32" s="57">
        <f t="shared" si="29"/>
        <v>8.7789673681828283E-3</v>
      </c>
      <c r="I32" s="131">
        <f t="shared" si="29"/>
        <v>7.1827914830586773E-3</v>
      </c>
      <c r="J32" s="99">
        <f t="shared" si="29"/>
        <v>9.0503172686539346E-3</v>
      </c>
      <c r="K32" s="57">
        <f t="shared" si="29"/>
        <v>8.2899025127584937E-3</v>
      </c>
      <c r="L32" s="131">
        <f t="shared" si="29"/>
        <v>6.8533442161467593E-3</v>
      </c>
      <c r="M32" s="99">
        <f t="shared" si="29"/>
        <v>1.0337287642614231E-2</v>
      </c>
      <c r="N32" s="57">
        <f t="shared" si="29"/>
        <v>1.1492466372893884E-2</v>
      </c>
      <c r="O32" s="131">
        <f t="shared" si="29"/>
        <v>7.8121391526010976E-3</v>
      </c>
      <c r="P32" s="99">
        <f t="shared" si="29"/>
        <v>1.0415047650435081E-2</v>
      </c>
      <c r="Q32" s="57">
        <f t="shared" si="29"/>
        <v>1.0774187224588016E-2</v>
      </c>
      <c r="R32" s="131">
        <f t="shared" si="29"/>
        <v>1.0055908076282148E-2</v>
      </c>
      <c r="S32" s="937"/>
      <c r="U32" s="959">
        <f>$U$7/(1-$U$7)*(1-U11)*U31</f>
        <v>1.3305584002423871E-2</v>
      </c>
      <c r="V32" s="960">
        <f>$U$7/(1-$U$7)*(1-V11)*V31</f>
        <v>1.17402211786093E-2</v>
      </c>
      <c r="W32" s="960">
        <f>$U$7/(1-$U$7)*(1-W11)*W31</f>
        <v>1.4675276473261625E-2</v>
      </c>
      <c r="X32" s="960">
        <f>$U$7/(1-$U$7)*(1-X11)*X31</f>
        <v>1.4675276473261625E-2</v>
      </c>
      <c r="Y32" s="960">
        <f>$U$7/(1-$U$7)*(1-Y11)*Y31</f>
        <v>1.4675276473261625E-2</v>
      </c>
      <c r="Z32" s="445" t="s">
        <v>450</v>
      </c>
      <c r="AA32" s="445"/>
      <c r="AB32" s="349"/>
      <c r="AC32" s="95"/>
      <c r="AD32" s="95"/>
      <c r="AE32" s="445"/>
      <c r="AF32" s="95"/>
      <c r="AG32" s="349"/>
      <c r="AH32" s="95"/>
      <c r="AI32" s="95"/>
      <c r="AJ32" s="445"/>
      <c r="AK32" s="95"/>
    </row>
    <row r="33" spans="1:38" s="102" customFormat="1" ht="13.2" customHeight="1">
      <c r="A33" s="228"/>
      <c r="B33" s="896"/>
      <c r="C33" s="897"/>
      <c r="D33" s="99"/>
      <c r="E33" s="922" t="s">
        <v>136</v>
      </c>
      <c r="F33" s="923" t="s">
        <v>135</v>
      </c>
      <c r="G33" s="915"/>
      <c r="H33" s="922" t="s">
        <v>136</v>
      </c>
      <c r="I33" s="923" t="s">
        <v>135</v>
      </c>
      <c r="J33" s="915"/>
      <c r="K33" s="922" t="s">
        <v>136</v>
      </c>
      <c r="L33" s="923" t="s">
        <v>135</v>
      </c>
      <c r="M33" s="915"/>
      <c r="N33" s="922" t="s">
        <v>136</v>
      </c>
      <c r="O33" s="923" t="s">
        <v>135</v>
      </c>
      <c r="P33" s="915"/>
      <c r="Q33" s="922" t="s">
        <v>136</v>
      </c>
      <c r="R33" s="923" t="s">
        <v>135</v>
      </c>
      <c r="S33" s="937"/>
      <c r="T33" s="47"/>
      <c r="U33" s="961"/>
      <c r="V33" s="962"/>
      <c r="W33" s="962"/>
      <c r="X33" s="962"/>
      <c r="Y33" s="962"/>
      <c r="Z33" s="445"/>
      <c r="AA33" s="445"/>
      <c r="AB33" s="349"/>
      <c r="AC33" s="95"/>
      <c r="AD33" s="95"/>
      <c r="AE33" s="445"/>
      <c r="AF33" s="95"/>
      <c r="AG33" s="349"/>
      <c r="AH33" s="95"/>
      <c r="AI33" s="95"/>
      <c r="AJ33" s="445"/>
      <c r="AK33" s="544"/>
      <c r="AL33" s="406"/>
    </row>
    <row r="34" spans="1:38" s="102" customFormat="1">
      <c r="A34" s="228"/>
      <c r="B34" s="196" t="s">
        <v>190</v>
      </c>
      <c r="C34" s="197"/>
      <c r="D34" s="525">
        <f>D86</f>
        <v>0.55555555555555558</v>
      </c>
      <c r="E34" s="924">
        <f>F86</f>
        <v>0.66666666666666663</v>
      </c>
      <c r="F34" s="924">
        <f>E86</f>
        <v>0.2857142857142857</v>
      </c>
      <c r="G34" s="525">
        <f>J34</f>
        <v>0.55555555555555558</v>
      </c>
      <c r="H34" s="924">
        <f>I86</f>
        <v>0.83831565413050457</v>
      </c>
      <c r="I34" s="924">
        <f>H86</f>
        <v>0.33907333425173347</v>
      </c>
      <c r="J34" s="716">
        <f>D34</f>
        <v>0.55555555555555558</v>
      </c>
      <c r="K34" s="924">
        <f>L86</f>
        <v>0.98544335767093716</v>
      </c>
      <c r="L34" s="924">
        <f>K86</f>
        <v>0.38480966156954588</v>
      </c>
      <c r="M34" s="716">
        <f>M86</f>
        <v>0.14705882352941177</v>
      </c>
      <c r="N34" s="924">
        <f>O86</f>
        <v>0.16806722689075629</v>
      </c>
      <c r="O34" s="924">
        <f>N86</f>
        <v>0.13071895424836602</v>
      </c>
      <c r="P34" s="525">
        <f>P86</f>
        <v>0.14705882352941177</v>
      </c>
      <c r="Q34" s="924">
        <f>R86</f>
        <v>0.16806722689075629</v>
      </c>
      <c r="R34" s="924">
        <f>Q86</f>
        <v>0.13071895424836602</v>
      </c>
      <c r="S34" s="933"/>
      <c r="T34" s="51"/>
      <c r="U34" s="78">
        <f>$W$61</f>
        <v>0.23875561877926038</v>
      </c>
      <c r="V34" s="77">
        <f>$W$61</f>
        <v>0.23875561877926038</v>
      </c>
      <c r="W34" s="78">
        <f>$W$61</f>
        <v>0.23875561877926038</v>
      </c>
      <c r="X34" s="78">
        <f>$Z$61</f>
        <v>0.16690072761760621</v>
      </c>
      <c r="Y34" s="77">
        <f>$Z$61</f>
        <v>0.16690072761760621</v>
      </c>
      <c r="Z34" s="383" t="s">
        <v>190</v>
      </c>
      <c r="AA34" s="484"/>
      <c r="AB34" s="1166">
        <f>D34-'WACC BIPT &amp; Cullen 2013'!D34</f>
        <v>0</v>
      </c>
      <c r="AC34" s="970">
        <f>J34-'WACC BIPT &amp; Cullen 2013'!J34</f>
        <v>-0.26117004178720671</v>
      </c>
      <c r="AD34" s="970">
        <f>P34-'WACC BIPT &amp; Cullen 2013'!P34</f>
        <v>0</v>
      </c>
      <c r="AE34" s="472">
        <f>M34-'WACC BIPT &amp; Cullen 2013'!M34</f>
        <v>0</v>
      </c>
      <c r="AF34" s="383" t="s">
        <v>190</v>
      </c>
      <c r="AG34" s="971">
        <f>D34-U34</f>
        <v>0.3167999367762952</v>
      </c>
      <c r="AH34" s="1030">
        <f>J34-V34</f>
        <v>0.3167999367762952</v>
      </c>
      <c r="AI34" s="1030">
        <f>P34-Y34</f>
        <v>-1.9841904088194445E-2</v>
      </c>
      <c r="AJ34" s="472">
        <f>M34-X34</f>
        <v>-1.9841904088194445E-2</v>
      </c>
      <c r="AK34" s="893"/>
      <c r="AL34" s="406"/>
    </row>
    <row r="35" spans="1:38" s="102" customFormat="1" ht="13.2" customHeight="1">
      <c r="A35" s="227" t="s">
        <v>456</v>
      </c>
      <c r="B35" s="892" t="s">
        <v>191</v>
      </c>
      <c r="C35" s="893"/>
      <c r="D35" s="734">
        <f t="shared" ref="D35:R35" si="30">1/D34</f>
        <v>1.7999999999999998</v>
      </c>
      <c r="E35" s="262">
        <f t="shared" si="30"/>
        <v>1.5</v>
      </c>
      <c r="F35" s="384">
        <f t="shared" si="30"/>
        <v>3.5</v>
      </c>
      <c r="G35" s="743">
        <f t="shared" si="30"/>
        <v>1.7999999999999998</v>
      </c>
      <c r="H35" s="262">
        <f t="shared" si="30"/>
        <v>1.1928680981595092</v>
      </c>
      <c r="I35" s="384">
        <f t="shared" si="30"/>
        <v>2.9492145178764897</v>
      </c>
      <c r="J35" s="743">
        <f t="shared" si="30"/>
        <v>1.7999999999999998</v>
      </c>
      <c r="K35" s="262">
        <f t="shared" si="30"/>
        <v>1.0147716682199441</v>
      </c>
      <c r="L35" s="384">
        <f t="shared" si="30"/>
        <v>2.5986873508353221</v>
      </c>
      <c r="M35" s="743">
        <f t="shared" si="30"/>
        <v>6.8</v>
      </c>
      <c r="N35" s="262">
        <f t="shared" si="30"/>
        <v>5.95</v>
      </c>
      <c r="O35" s="384">
        <f t="shared" si="30"/>
        <v>7.6499999999999995</v>
      </c>
      <c r="P35" s="743">
        <f t="shared" si="30"/>
        <v>6.8</v>
      </c>
      <c r="Q35" s="262">
        <f t="shared" si="30"/>
        <v>5.95</v>
      </c>
      <c r="R35" s="384">
        <f t="shared" si="30"/>
        <v>7.6499999999999995</v>
      </c>
      <c r="S35" s="933"/>
      <c r="T35" s="103"/>
      <c r="U35" s="963">
        <f>1/U34</f>
        <v>4.1883831053397831</v>
      </c>
      <c r="V35" s="964">
        <f>1/V34</f>
        <v>4.1883831053397831</v>
      </c>
      <c r="W35" s="964">
        <f>1/W34</f>
        <v>4.1883831053397831</v>
      </c>
      <c r="X35" s="964">
        <f>1/X34</f>
        <v>5.9915856226291897</v>
      </c>
      <c r="Y35" s="964">
        <f>1/Y34</f>
        <v>5.9915856226291897</v>
      </c>
      <c r="Z35" s="172" t="s">
        <v>191</v>
      </c>
      <c r="AA35" s="484"/>
      <c r="AB35" s="1033">
        <f>D35-'WACC BIPT &amp; Cullen 2013'!D35</f>
        <v>0</v>
      </c>
      <c r="AC35" s="1031">
        <f>J35-'WACC BIPT &amp; Cullen 2013'!J35</f>
        <v>0.57559855690390282</v>
      </c>
      <c r="AD35" s="1031">
        <f>P35-'WACC BIPT &amp; Cullen 2013'!P35</f>
        <v>0</v>
      </c>
      <c r="AE35" s="1032">
        <f>M35-'WACC BIPT &amp; Cullen 2013'!M35</f>
        <v>0</v>
      </c>
      <c r="AF35" s="893" t="s">
        <v>191</v>
      </c>
      <c r="AG35" s="1033">
        <f>D35-U35</f>
        <v>-2.3883831053397833</v>
      </c>
      <c r="AH35" s="1031">
        <f>J35-V35</f>
        <v>-2.3883831053397833</v>
      </c>
      <c r="AI35" s="1031">
        <f>P35-Y35</f>
        <v>0.80841437737081012</v>
      </c>
      <c r="AJ35" s="1032">
        <f>M35-X35</f>
        <v>0.80841437737081012</v>
      </c>
      <c r="AK35" s="82"/>
      <c r="AL35" s="406"/>
    </row>
    <row r="36" spans="1:38" s="102" customFormat="1" ht="13.2" customHeight="1">
      <c r="A36" s="227" t="s">
        <v>22</v>
      </c>
      <c r="B36" s="894" t="s">
        <v>452</v>
      </c>
      <c r="C36" s="897"/>
      <c r="D36" s="99">
        <f t="shared" ref="D36:R36" si="31">D32*D34</f>
        <v>4.7885276553724524E-3</v>
      </c>
      <c r="E36" s="94">
        <f t="shared" si="31"/>
        <v>7.6616442485959221E-3</v>
      </c>
      <c r="F36" s="101">
        <f t="shared" si="31"/>
        <v>2.052226138016765E-3</v>
      </c>
      <c r="G36" s="99">
        <f t="shared" si="31"/>
        <v>4.868336449628659E-3</v>
      </c>
      <c r="H36" s="94">
        <f t="shared" si="31"/>
        <v>7.359545771848542E-3</v>
      </c>
      <c r="I36" s="101">
        <f t="shared" si="31"/>
        <v>2.4354930573956594E-3</v>
      </c>
      <c r="J36" s="99">
        <f t="shared" si="31"/>
        <v>5.0279540381410748E-3</v>
      </c>
      <c r="K36" s="94">
        <f t="shared" si="31"/>
        <v>8.1692293669374683E-3</v>
      </c>
      <c r="L36" s="101">
        <f t="shared" si="31"/>
        <v>2.637233068435039E-3</v>
      </c>
      <c r="M36" s="99">
        <f t="shared" si="31"/>
        <v>1.5201893592079753E-3</v>
      </c>
      <c r="N36" s="94">
        <f t="shared" si="31"/>
        <v>1.9315069534275434E-3</v>
      </c>
      <c r="O36" s="101">
        <f t="shared" si="31"/>
        <v>1.0211946604707317E-3</v>
      </c>
      <c r="P36" s="99">
        <f t="shared" si="31"/>
        <v>1.5316246544757473E-3</v>
      </c>
      <c r="Q36" s="94">
        <f t="shared" si="31"/>
        <v>1.8107877688383219E-3</v>
      </c>
      <c r="R36" s="101">
        <f t="shared" si="31"/>
        <v>1.3144977877493004E-3</v>
      </c>
      <c r="S36" s="937"/>
      <c r="T36" s="93"/>
      <c r="U36" s="997">
        <f>U32*U34</f>
        <v>3.1767829417181392E-3</v>
      </c>
      <c r="V36" s="998">
        <f>V32*V34</f>
        <v>2.8030437721042411E-3</v>
      </c>
      <c r="W36" s="998">
        <f>W32*W34</f>
        <v>3.5038047151303015E-3</v>
      </c>
      <c r="X36" s="998">
        <f>X32*X34</f>
        <v>2.4493143213769031E-3</v>
      </c>
      <c r="Y36" s="998">
        <f>Y32*Y34</f>
        <v>2.4493143213769031E-3</v>
      </c>
      <c r="Z36" s="996" t="s">
        <v>453</v>
      </c>
      <c r="AA36" s="484"/>
      <c r="AB36" s="50">
        <f>D36-'WACC BIPT &amp; Cullen 2013'!D36</f>
        <v>0</v>
      </c>
      <c r="AC36" s="40">
        <f>J36-'WACC BIPT &amp; Cullen 2013'!J36</f>
        <v>-1.1559845770459124E-3</v>
      </c>
      <c r="AD36" s="40">
        <f>P36-'WACC BIPT &amp; Cullen 2013'!P36</f>
        <v>0</v>
      </c>
      <c r="AE36" s="83">
        <f>M36-'WACC BIPT &amp; Cullen 2013'!M36</f>
        <v>0</v>
      </c>
      <c r="AF36" s="38" t="s">
        <v>453</v>
      </c>
      <c r="AG36" s="99">
        <f>D36-U36</f>
        <v>1.6117447136543132E-3</v>
      </c>
      <c r="AH36" s="100">
        <f>J36-V36</f>
        <v>2.2249102660368337E-3</v>
      </c>
      <c r="AI36" s="100">
        <f>P36-Y36</f>
        <v>-9.1768966690115579E-4</v>
      </c>
      <c r="AJ36" s="83">
        <f>M36-X36</f>
        <v>-9.2912496216892779E-4</v>
      </c>
      <c r="AK36" s="95"/>
      <c r="AL36" s="406"/>
    </row>
    <row r="37" spans="1:38" s="107" customFormat="1">
      <c r="A37" s="229"/>
      <c r="B37" s="894"/>
      <c r="C37" s="895"/>
      <c r="D37" s="96"/>
      <c r="E37" s="97"/>
      <c r="F37" s="98"/>
      <c r="G37" s="96"/>
      <c r="H37" s="97"/>
      <c r="I37" s="98"/>
      <c r="J37" s="96"/>
      <c r="K37" s="97"/>
      <c r="L37" s="98"/>
      <c r="M37" s="96"/>
      <c r="N37" s="97"/>
      <c r="O37" s="98"/>
      <c r="P37" s="96"/>
      <c r="Q37" s="97"/>
      <c r="R37" s="98"/>
      <c r="S37" s="937"/>
      <c r="T37" s="103"/>
      <c r="U37" s="1005"/>
      <c r="V37" s="103"/>
      <c r="W37" s="93"/>
      <c r="X37" s="93"/>
      <c r="Y37" s="103"/>
      <c r="Z37" s="538"/>
      <c r="AA37" s="538"/>
      <c r="AB37" s="349"/>
      <c r="AC37" s="95"/>
      <c r="AD37" s="95"/>
      <c r="AE37" s="445"/>
      <c r="AF37" s="105"/>
      <c r="AG37" s="349"/>
      <c r="AH37" s="95"/>
      <c r="AI37" s="95"/>
      <c r="AJ37" s="445"/>
      <c r="AK37" s="82"/>
      <c r="AL37" s="407"/>
    </row>
    <row r="38" spans="1:38" s="52" customFormat="1" ht="13.2" customHeight="1">
      <c r="A38" s="230" t="s">
        <v>24</v>
      </c>
      <c r="B38" s="1116" t="s">
        <v>274</v>
      </c>
      <c r="C38" s="1098"/>
      <c r="D38" s="1099">
        <f t="shared" ref="D38:R38" si="32">D28-D36</f>
        <v>7.138444305194426E-2</v>
      </c>
      <c r="E38" s="1100">
        <f t="shared" si="32"/>
        <v>6.3550957077957798E-2</v>
      </c>
      <c r="F38" s="1101">
        <f t="shared" si="32"/>
        <v>8.685949016078591E-2</v>
      </c>
      <c r="G38" s="1099">
        <f t="shared" si="32"/>
        <v>9.4473901499231724E-2</v>
      </c>
      <c r="H38" s="1100">
        <f t="shared" si="32"/>
        <v>7.7154624891577997E-2</v>
      </c>
      <c r="I38" s="1101">
        <f t="shared" si="32"/>
        <v>0.11396472932499227</v>
      </c>
      <c r="J38" s="1122">
        <f>J28-J36</f>
        <v>7.9792900286457219E-2</v>
      </c>
      <c r="K38" s="1100">
        <f t="shared" si="32"/>
        <v>6.403837515869959E-2</v>
      </c>
      <c r="L38" s="1101">
        <f t="shared" si="32"/>
        <v>9.4330612591154842E-2</v>
      </c>
      <c r="M38" s="1099">
        <f t="shared" si="32"/>
        <v>8.6142783260974132E-2</v>
      </c>
      <c r="N38" s="1100">
        <f t="shared" si="32"/>
        <v>7.6605472137841205E-2</v>
      </c>
      <c r="O38" s="1101">
        <f t="shared" si="32"/>
        <v>9.8441870776361462E-2</v>
      </c>
      <c r="P38" s="1123">
        <f t="shared" si="32"/>
        <v>8.6303071530882375E-2</v>
      </c>
      <c r="Q38" s="1118">
        <f t="shared" si="32"/>
        <v>7.5306623135547035E-2</v>
      </c>
      <c r="R38" s="1119">
        <f t="shared" si="32"/>
        <v>0.10398787319927159</v>
      </c>
      <c r="S38" s="938"/>
      <c r="T38" s="451">
        <v>40269</v>
      </c>
      <c r="U38" s="1110">
        <f>U28-U36</f>
        <v>9.6986465051010232E-2</v>
      </c>
      <c r="V38" s="1111">
        <f>V28-V36</f>
        <v>9.6121785799172826E-2</v>
      </c>
      <c r="W38" s="1112">
        <f>W28-W36</f>
        <v>9.9437226946739107E-2</v>
      </c>
      <c r="X38" s="1112">
        <f>X28-X36</f>
        <v>0.10128705138078943</v>
      </c>
      <c r="Y38" s="1113">
        <f>Y28-Y36</f>
        <v>0.1004917173404925</v>
      </c>
      <c r="Z38" s="1114" t="s">
        <v>308</v>
      </c>
      <c r="AA38" s="537"/>
      <c r="AB38" s="1099">
        <f>D38-'WACC BIPT &amp; Cullen 2013'!D38</f>
        <v>0</v>
      </c>
      <c r="AC38" s="1134">
        <f>J38-'WACC BIPT &amp; Cullen 2013'!J38</f>
        <v>4.4215010828893425E-3</v>
      </c>
      <c r="AD38" s="1135">
        <f>P38-'WACC BIPT &amp; Cullen 2013'!P38</f>
        <v>0</v>
      </c>
      <c r="AE38" s="1115">
        <f>M38-'WACC BIPT &amp; Cullen 2013'!M38</f>
        <v>0</v>
      </c>
      <c r="AF38" s="1117" t="s">
        <v>308</v>
      </c>
      <c r="AG38" s="1099">
        <f>D38-U38</f>
        <v>-2.5602021999065971E-2</v>
      </c>
      <c r="AH38" s="1129">
        <f>J38-V38</f>
        <v>-1.6328885512715607E-2</v>
      </c>
      <c r="AI38" s="1130">
        <f>P38-Y38</f>
        <v>-1.4188645809610129E-2</v>
      </c>
      <c r="AJ38" s="1115">
        <f>M38-X38</f>
        <v>-1.5144268119815299E-2</v>
      </c>
      <c r="AK38" s="95"/>
      <c r="AL38" s="365"/>
    </row>
    <row r="39" spans="1:38" s="52" customFormat="1">
      <c r="A39" s="230"/>
      <c r="B39" s="402" t="s">
        <v>470</v>
      </c>
      <c r="C39" s="1043"/>
      <c r="D39" s="645"/>
      <c r="E39" s="1049"/>
      <c r="F39" s="1049"/>
      <c r="G39" s="1049"/>
      <c r="H39" s="1049"/>
      <c r="I39" s="1049"/>
      <c r="J39" s="1049"/>
      <c r="K39" s="1050"/>
      <c r="L39" s="1049"/>
      <c r="M39" s="1051"/>
      <c r="N39" s="875"/>
      <c r="O39" s="876"/>
      <c r="P39" s="1124">
        <f>P38-J38</f>
        <v>6.5101712444251558E-3</v>
      </c>
      <c r="Q39" s="1003">
        <f>Q38-K38</f>
        <v>1.1268247976847445E-2</v>
      </c>
      <c r="R39" s="1004">
        <f>R38-L38</f>
        <v>9.6572606081167522E-3</v>
      </c>
      <c r="S39" s="499"/>
      <c r="U39" s="976"/>
      <c r="V39" s="1052"/>
      <c r="W39" s="1053"/>
      <c r="X39" s="1054"/>
      <c r="Y39" s="1063">
        <f>Y38-V38</f>
        <v>4.3699315413196771E-3</v>
      </c>
      <c r="Z39" s="1058" t="s">
        <v>473</v>
      </c>
      <c r="AB39" s="1057"/>
      <c r="AC39" s="1057"/>
      <c r="AD39" s="1136">
        <f>AD38-AC38</f>
        <v>-4.4215010828893425E-3</v>
      </c>
      <c r="AE39" s="1056"/>
      <c r="AF39" s="1039" t="s">
        <v>473</v>
      </c>
      <c r="AG39" s="1057"/>
      <c r="AH39" s="1057"/>
      <c r="AI39" s="1131">
        <f>AI38-AH38</f>
        <v>2.1402397031054787E-3</v>
      </c>
      <c r="AJ39" s="1056"/>
      <c r="AK39" s="95"/>
      <c r="AL39" s="365"/>
    </row>
    <row r="40" spans="1:38">
      <c r="A40" s="231" t="s">
        <v>146</v>
      </c>
      <c r="B40" s="347" t="s">
        <v>469</v>
      </c>
      <c r="C40" s="98"/>
      <c r="D40" s="350">
        <f>AVERAGE(E38,F38)</f>
        <v>7.5205223619371847E-2</v>
      </c>
      <c r="E40" s="94"/>
      <c r="F40" s="94"/>
      <c r="G40" s="94">
        <f>AVERAGE(H38,I38)</f>
        <v>9.555967710828514E-2</v>
      </c>
      <c r="H40" s="94"/>
      <c r="I40" s="94"/>
      <c r="J40" s="94">
        <f>AVERAGE(K38,L38)</f>
        <v>7.9184493874927209E-2</v>
      </c>
      <c r="K40" s="94"/>
      <c r="L40" s="94"/>
      <c r="M40" s="94">
        <f>AVERAGE(N38,O38)</f>
        <v>8.7523671457101326E-2</v>
      </c>
      <c r="N40" s="94"/>
      <c r="O40" s="94"/>
      <c r="P40" s="94">
        <f>AVERAGE(Q38,R38)</f>
        <v>8.9647248167409321E-2</v>
      </c>
      <c r="S40" s="499"/>
      <c r="T40" s="451">
        <v>40118</v>
      </c>
      <c r="U40" s="33">
        <v>9.2611345840225401E-2</v>
      </c>
      <c r="V40" s="33">
        <v>8.9419535439103887E-2</v>
      </c>
      <c r="W40" s="33">
        <v>9.6577593060431122E-2</v>
      </c>
      <c r="X40" s="33">
        <v>9.8472793686555607E-2</v>
      </c>
      <c r="Y40" s="33">
        <v>9.7715332695796631E-2</v>
      </c>
      <c r="Z40" s="51"/>
      <c r="AA40" s="51"/>
      <c r="AB40" s="51"/>
      <c r="AC40" s="51"/>
      <c r="AD40" s="51"/>
      <c r="AE40" s="51"/>
      <c r="AF40" s="51"/>
      <c r="AG40" s="52"/>
      <c r="AH40" s="95"/>
      <c r="AI40" s="556"/>
      <c r="AJ40" s="95"/>
    </row>
    <row r="41" spans="1:38" s="751" customFormat="1">
      <c r="A41" s="765" t="s">
        <v>455</v>
      </c>
      <c r="B41" s="347" t="s">
        <v>492</v>
      </c>
      <c r="D41" s="1038"/>
      <c r="E41" s="788"/>
      <c r="F41" s="788"/>
      <c r="G41" s="788"/>
      <c r="H41" s="766"/>
      <c r="I41" s="766"/>
      <c r="J41" s="767"/>
      <c r="K41" s="770"/>
      <c r="P41" s="94"/>
      <c r="S41" s="770"/>
      <c r="T41" s="771"/>
      <c r="U41" s="771"/>
      <c r="V41" s="771"/>
      <c r="W41" s="772"/>
      <c r="X41" s="772"/>
      <c r="Y41" s="771"/>
      <c r="Z41" s="771"/>
      <c r="AA41" s="773"/>
      <c r="AB41" s="773"/>
      <c r="AC41" s="773"/>
      <c r="AE41" s="773"/>
      <c r="AG41" s="782"/>
      <c r="AH41" s="782"/>
      <c r="AJ41" s="782"/>
      <c r="AK41" s="753"/>
      <c r="AL41" s="760"/>
    </row>
    <row r="42" spans="1:38" s="751" customFormat="1">
      <c r="A42" s="822"/>
      <c r="B42" s="1167" t="s">
        <v>448</v>
      </c>
      <c r="D42" s="1165" t="s">
        <v>493</v>
      </c>
      <c r="E42" s="67"/>
      <c r="F42" s="788"/>
      <c r="G42" s="788"/>
      <c r="H42" s="766"/>
      <c r="I42" s="766"/>
      <c r="J42" s="767"/>
      <c r="K42" s="770"/>
      <c r="L42" s="768"/>
      <c r="M42" s="766"/>
      <c r="N42" s="766"/>
      <c r="O42" s="766"/>
      <c r="P42" s="767"/>
      <c r="Q42" s="766"/>
      <c r="R42" s="780"/>
      <c r="S42" s="781"/>
      <c r="AA42" s="782"/>
      <c r="AB42" s="761" t="s">
        <v>494</v>
      </c>
      <c r="AC42" s="782"/>
      <c r="AD42" s="782"/>
      <c r="AE42" s="782"/>
      <c r="AF42" s="782"/>
      <c r="AG42" s="782"/>
      <c r="AH42" s="782"/>
      <c r="AI42" s="782"/>
      <c r="AJ42" s="782"/>
      <c r="AK42" s="753"/>
      <c r="AL42" s="760"/>
    </row>
    <row r="43" spans="1:38" s="751" customFormat="1">
      <c r="A43" s="765" t="s">
        <v>176</v>
      </c>
      <c r="B43" s="784"/>
      <c r="C43" s="779"/>
      <c r="D43" s="760"/>
      <c r="S43" s="770"/>
      <c r="AA43" s="785"/>
      <c r="AB43" s="785"/>
      <c r="AC43" s="785"/>
      <c r="AD43" s="785"/>
      <c r="AE43" s="785"/>
      <c r="AF43" s="785"/>
      <c r="AG43" s="770"/>
      <c r="AH43" s="753"/>
      <c r="AI43" s="753"/>
      <c r="AJ43" s="753"/>
      <c r="AK43" s="753"/>
      <c r="AL43" s="760"/>
    </row>
    <row r="44" spans="1:38" s="751" customFormat="1" ht="13.2" customHeight="1">
      <c r="A44" s="747" t="s">
        <v>175</v>
      </c>
      <c r="B44" s="748" t="s">
        <v>417</v>
      </c>
      <c r="C44" s="749"/>
      <c r="D44" s="750"/>
      <c r="E44" s="749"/>
      <c r="F44" s="749"/>
      <c r="G44" s="749"/>
      <c r="H44" s="749"/>
      <c r="I44" s="749"/>
      <c r="J44" s="749"/>
      <c r="K44" s="749"/>
      <c r="L44" s="749"/>
      <c r="M44" s="749"/>
      <c r="N44" s="749"/>
      <c r="O44" s="749"/>
      <c r="P44" s="749"/>
      <c r="Q44" s="749"/>
      <c r="R44" s="749"/>
      <c r="S44" s="749"/>
      <c r="T44" s="749"/>
      <c r="U44" s="749"/>
      <c r="V44" s="749"/>
      <c r="W44" s="749"/>
      <c r="X44" s="749"/>
      <c r="Y44" s="749"/>
      <c r="Z44" s="749"/>
      <c r="AA44" s="752"/>
      <c r="AB44" s="1024"/>
      <c r="AC44" s="1024"/>
      <c r="AD44" s="1024"/>
      <c r="AE44" s="1024"/>
      <c r="AF44" s="1024"/>
      <c r="AG44" s="749"/>
      <c r="AH44" s="749"/>
      <c r="AI44" s="749"/>
      <c r="AJ44" s="749"/>
      <c r="AK44" s="753"/>
      <c r="AL44" s="760"/>
    </row>
    <row r="45" spans="1:38" s="751" customFormat="1" ht="13.2" customHeight="1">
      <c r="A45" s="747"/>
      <c r="B45" s="761"/>
      <c r="C45" s="753"/>
      <c r="D45" s="750"/>
      <c r="E45" s="749"/>
      <c r="F45" s="749"/>
      <c r="G45" s="749"/>
      <c r="H45" s="749"/>
      <c r="I45" s="749"/>
      <c r="J45" s="749"/>
      <c r="K45" s="749"/>
      <c r="L45" s="749"/>
      <c r="M45" s="749"/>
      <c r="N45" s="749"/>
      <c r="O45" s="749"/>
      <c r="P45" s="749"/>
      <c r="Q45" s="749"/>
      <c r="R45" s="749"/>
      <c r="S45" s="749"/>
      <c r="T45" s="749"/>
      <c r="U45" s="749"/>
      <c r="V45" s="749"/>
      <c r="W45" s="749"/>
      <c r="X45" s="749"/>
      <c r="Y45" s="749"/>
      <c r="Z45" s="749"/>
      <c r="AA45" s="752"/>
      <c r="AB45" s="1024"/>
      <c r="AC45" s="1024"/>
      <c r="AD45" s="1024"/>
      <c r="AE45" s="1024"/>
      <c r="AF45" s="1024"/>
      <c r="AG45" s="749"/>
      <c r="AH45" s="749"/>
      <c r="AI45" s="749"/>
      <c r="AJ45" s="749"/>
      <c r="AK45" s="753"/>
      <c r="AL45" s="760"/>
    </row>
    <row r="46" spans="1:38" s="751" customFormat="1" ht="13.2" customHeight="1">
      <c r="A46" s="747"/>
      <c r="B46" s="761"/>
      <c r="C46" s="753"/>
      <c r="D46" s="750"/>
      <c r="E46" s="749"/>
      <c r="F46" s="749"/>
      <c r="G46" s="749"/>
      <c r="H46" s="749"/>
      <c r="I46" s="749"/>
      <c r="J46" s="749"/>
      <c r="K46" s="749"/>
      <c r="L46" s="749"/>
      <c r="M46" s="749"/>
      <c r="N46" s="749"/>
      <c r="O46" s="749"/>
      <c r="P46" s="749"/>
      <c r="Q46" s="749"/>
      <c r="R46" s="749"/>
      <c r="S46" s="749"/>
      <c r="T46" s="749"/>
      <c r="U46" s="749"/>
      <c r="V46" s="749"/>
      <c r="W46" s="749"/>
      <c r="X46" s="749"/>
      <c r="Y46" s="749"/>
      <c r="Z46" s="749"/>
      <c r="AA46" s="752"/>
      <c r="AB46" s="1024"/>
      <c r="AC46" s="1024"/>
      <c r="AD46" s="1024"/>
      <c r="AE46" s="1024"/>
      <c r="AF46" s="1024"/>
      <c r="AG46" s="749"/>
      <c r="AH46" s="749"/>
      <c r="AI46" s="749"/>
      <c r="AJ46" s="749"/>
      <c r="AK46" s="753"/>
      <c r="AL46" s="760"/>
    </row>
    <row r="47" spans="1:38" s="751" customFormat="1" ht="13.2" customHeight="1">
      <c r="A47" s="747"/>
      <c r="B47" s="761"/>
      <c r="C47" s="753"/>
      <c r="D47" s="750"/>
      <c r="E47" s="749"/>
      <c r="F47" s="749"/>
      <c r="G47" s="749"/>
      <c r="H47" s="749"/>
      <c r="I47" s="749"/>
      <c r="J47" s="749"/>
      <c r="K47" s="749"/>
      <c r="L47" s="749"/>
      <c r="M47" s="749"/>
      <c r="N47" s="749"/>
      <c r="O47" s="749"/>
      <c r="P47" s="749"/>
      <c r="Q47" s="749"/>
      <c r="R47" s="749"/>
      <c r="S47" s="749"/>
      <c r="T47" s="749"/>
      <c r="U47" s="749"/>
      <c r="V47" s="749"/>
      <c r="W47" s="749"/>
      <c r="X47" s="749"/>
      <c r="Y47" s="749"/>
      <c r="Z47" s="749"/>
      <c r="AA47" s="752"/>
      <c r="AB47" s="1024"/>
      <c r="AC47" s="1024"/>
      <c r="AD47" s="1024"/>
      <c r="AE47" s="1024"/>
      <c r="AF47" s="1024"/>
      <c r="AG47" s="749"/>
      <c r="AH47" s="749"/>
      <c r="AI47" s="749"/>
      <c r="AJ47" s="749"/>
      <c r="AK47" s="753"/>
      <c r="AL47" s="760"/>
    </row>
    <row r="48" spans="1:38" s="751" customFormat="1">
      <c r="A48" s="747"/>
      <c r="B48" s="753"/>
      <c r="C48" s="762"/>
      <c r="D48" s="763"/>
      <c r="E48" s="759"/>
      <c r="F48" s="759"/>
      <c r="G48" s="759"/>
      <c r="H48" s="759"/>
      <c r="I48" s="759"/>
      <c r="J48" s="759"/>
      <c r="K48" s="759"/>
      <c r="L48" s="759"/>
      <c r="M48" s="759"/>
      <c r="N48" s="759"/>
      <c r="O48" s="759"/>
      <c r="P48" s="759"/>
      <c r="Q48" s="759"/>
      <c r="R48" s="759"/>
      <c r="S48" s="759"/>
      <c r="T48" s="759"/>
      <c r="U48" s="759"/>
      <c r="V48" s="759"/>
      <c r="W48" s="759"/>
      <c r="X48" s="759"/>
      <c r="Y48" s="759"/>
      <c r="Z48" s="759"/>
      <c r="AA48" s="764"/>
      <c r="AB48" s="1025"/>
      <c r="AC48" s="1025"/>
      <c r="AD48" s="1025"/>
      <c r="AE48" s="1025"/>
      <c r="AF48" s="1025"/>
      <c r="AG48" s="749"/>
      <c r="AH48" s="749"/>
      <c r="AI48" s="749"/>
      <c r="AJ48" s="749"/>
      <c r="AK48" s="753"/>
      <c r="AL48" s="760"/>
    </row>
    <row r="49" spans="1:38" s="751" customFormat="1">
      <c r="A49" s="747"/>
      <c r="B49" s="753"/>
      <c r="C49" s="762"/>
      <c r="D49" s="763"/>
      <c r="E49" s="759"/>
      <c r="F49" s="759"/>
      <c r="G49" s="759"/>
      <c r="H49" s="759"/>
      <c r="I49" s="759"/>
      <c r="J49" s="759"/>
      <c r="K49" s="759"/>
      <c r="L49" s="759"/>
      <c r="M49" s="759"/>
      <c r="N49" s="759"/>
      <c r="O49" s="759"/>
      <c r="P49" s="759"/>
      <c r="Q49" s="759"/>
      <c r="R49" s="759"/>
      <c r="S49" s="759"/>
      <c r="T49" s="759"/>
      <c r="U49" s="759"/>
      <c r="V49" s="759"/>
      <c r="W49" s="759"/>
      <c r="X49" s="759"/>
      <c r="Y49" s="759"/>
      <c r="Z49" s="759"/>
      <c r="AA49" s="764"/>
      <c r="AB49" s="1025"/>
      <c r="AC49" s="1025"/>
      <c r="AD49" s="1025"/>
      <c r="AE49" s="1025"/>
      <c r="AF49" s="1025"/>
      <c r="AG49" s="749"/>
      <c r="AH49" s="749"/>
      <c r="AI49" s="749"/>
      <c r="AJ49" s="749"/>
      <c r="AK49" s="753"/>
      <c r="AL49" s="760"/>
    </row>
    <row r="50" spans="1:38" s="751" customFormat="1">
      <c r="A50" s="747"/>
      <c r="B50" s="753"/>
      <c r="C50" s="762"/>
      <c r="D50" s="763"/>
      <c r="E50" s="759"/>
      <c r="F50" s="759"/>
      <c r="G50" s="759"/>
      <c r="H50" s="759"/>
      <c r="I50" s="759"/>
      <c r="J50" s="759"/>
      <c r="K50" s="759"/>
      <c r="L50" s="759"/>
      <c r="M50" s="759"/>
      <c r="N50" s="759"/>
      <c r="O50" s="759"/>
      <c r="P50" s="759"/>
      <c r="Q50" s="759"/>
      <c r="R50" s="759"/>
      <c r="S50" s="759"/>
      <c r="T50" s="759"/>
      <c r="U50" s="759"/>
      <c r="V50" s="759"/>
      <c r="W50" s="759"/>
      <c r="X50" s="759"/>
      <c r="Y50" s="759"/>
      <c r="Z50" s="759"/>
      <c r="AA50" s="764"/>
      <c r="AB50" s="1025"/>
      <c r="AC50" s="1025"/>
      <c r="AD50" s="1025"/>
      <c r="AE50" s="1025"/>
      <c r="AF50" s="1025"/>
      <c r="AG50" s="749"/>
      <c r="AH50" s="749"/>
      <c r="AI50" s="749"/>
      <c r="AJ50" s="749"/>
      <c r="AK50" s="753"/>
      <c r="AL50" s="760"/>
    </row>
    <row r="51" spans="1:38" s="113" customFormat="1">
      <c r="A51" s="232"/>
      <c r="B51" s="893"/>
      <c r="C51" s="116"/>
      <c r="D51" s="366"/>
      <c r="AA51" s="208"/>
      <c r="AB51" s="208"/>
      <c r="AC51" s="208"/>
      <c r="AD51" s="208"/>
      <c r="AE51" s="208"/>
      <c r="AF51" s="208"/>
      <c r="AG51" s="105"/>
      <c r="AH51" s="124"/>
      <c r="AI51" s="124"/>
      <c r="AJ51" s="124"/>
      <c r="AK51" s="124"/>
      <c r="AL51" s="366"/>
    </row>
    <row r="52" spans="1:38" s="652" customFormat="1">
      <c r="A52" s="650"/>
      <c r="B52" s="660" t="s">
        <v>491</v>
      </c>
      <c r="C52" s="661"/>
      <c r="D52" s="651" t="s">
        <v>495</v>
      </c>
      <c r="AA52" s="653"/>
      <c r="AB52" s="653"/>
      <c r="AC52" s="653"/>
      <c r="AD52" s="653"/>
      <c r="AE52" s="653"/>
      <c r="AF52" s="653"/>
      <c r="AG52" s="654"/>
      <c r="AH52" s="655"/>
      <c r="AI52" s="655"/>
      <c r="AJ52" s="655"/>
      <c r="AK52" s="655"/>
      <c r="AL52" s="651"/>
    </row>
    <row r="53" spans="1:38">
      <c r="B53" s="893"/>
      <c r="C53" s="161"/>
      <c r="D53" s="351"/>
      <c r="E53" s="48"/>
      <c r="F53" s="48"/>
      <c r="G53" s="48"/>
      <c r="H53" s="158"/>
      <c r="I53" s="159"/>
      <c r="J53" s="48"/>
      <c r="K53" s="48"/>
      <c r="L53" s="48"/>
      <c r="M53" s="48"/>
      <c r="N53" s="48"/>
      <c r="T53" s="69"/>
      <c r="U53" s="69"/>
      <c r="V53" s="69"/>
      <c r="Y53" s="69"/>
      <c r="Z53" s="69"/>
      <c r="AA53" s="69"/>
      <c r="AB53" s="69"/>
      <c r="AC53" s="69"/>
      <c r="AD53" s="69"/>
      <c r="AE53" s="69"/>
      <c r="AF53" s="69"/>
    </row>
    <row r="54" spans="1:38" ht="13.8" thickBot="1">
      <c r="B54" s="165" t="s">
        <v>181</v>
      </c>
      <c r="C54" s="166"/>
      <c r="D54" s="166"/>
      <c r="E54" s="166"/>
      <c r="F54" s="166"/>
      <c r="G54" s="166"/>
      <c r="H54" s="166"/>
      <c r="I54" s="166"/>
      <c r="J54" s="166"/>
      <c r="K54" s="166"/>
      <c r="L54" s="166"/>
      <c r="M54" s="166"/>
      <c r="N54" s="166"/>
      <c r="O54" s="166"/>
      <c r="P54" s="166"/>
      <c r="Q54" s="167"/>
      <c r="R54" s="167"/>
      <c r="T54" s="203"/>
      <c r="U54" s="202" t="s">
        <v>3</v>
      </c>
      <c r="V54" s="203"/>
      <c r="W54" s="203"/>
      <c r="X54" s="202" t="s">
        <v>2</v>
      </c>
      <c r="Y54" s="203"/>
      <c r="Z54" s="203"/>
    </row>
    <row r="55" spans="1:38">
      <c r="B55" s="210" t="s">
        <v>132</v>
      </c>
      <c r="C55" s="187"/>
      <c r="D55" s="684">
        <f>'WACC BIPT &amp; Cullen 2013'!D55</f>
        <v>5.385479123784064</v>
      </c>
      <c r="E55" s="685"/>
      <c r="F55" s="685"/>
      <c r="G55" s="685"/>
      <c r="H55" s="685"/>
      <c r="I55" s="685"/>
      <c r="J55" s="685"/>
      <c r="K55" s="685"/>
      <c r="L55" s="685"/>
      <c r="M55" s="685"/>
      <c r="N55" s="685"/>
      <c r="O55" s="685"/>
      <c r="P55" s="685"/>
      <c r="Q55" s="686"/>
      <c r="R55" s="166"/>
      <c r="T55" s="203"/>
      <c r="U55" s="203" t="s">
        <v>75</v>
      </c>
      <c r="V55" s="204" t="s">
        <v>21</v>
      </c>
      <c r="W55" s="203" t="s">
        <v>5</v>
      </c>
      <c r="X55" s="202" t="s">
        <v>25</v>
      </c>
      <c r="Y55" s="205" t="s">
        <v>21</v>
      </c>
      <c r="Z55" s="202" t="s">
        <v>5</v>
      </c>
    </row>
    <row r="56" spans="1:38">
      <c r="B56" s="211" t="s">
        <v>0</v>
      </c>
      <c r="C56" s="189"/>
      <c r="D56" s="147" t="s">
        <v>151</v>
      </c>
      <c r="E56" s="117" t="s">
        <v>152</v>
      </c>
      <c r="F56" s="118" t="s">
        <v>153</v>
      </c>
      <c r="G56" s="119" t="s">
        <v>154</v>
      </c>
      <c r="H56" s="118" t="s">
        <v>155</v>
      </c>
      <c r="I56" s="118" t="s">
        <v>156</v>
      </c>
      <c r="J56" s="119" t="s">
        <v>157</v>
      </c>
      <c r="K56" s="118" t="s">
        <v>158</v>
      </c>
      <c r="L56" s="120" t="s">
        <v>159</v>
      </c>
      <c r="M56" s="118" t="s">
        <v>160</v>
      </c>
      <c r="N56" s="118" t="s">
        <v>161</v>
      </c>
      <c r="O56" s="118" t="s">
        <v>162</v>
      </c>
      <c r="P56" s="118" t="s">
        <v>163</v>
      </c>
      <c r="Q56" s="148" t="s">
        <v>164</v>
      </c>
      <c r="R56" s="166"/>
      <c r="T56" s="746" t="s">
        <v>173</v>
      </c>
      <c r="U56" s="125">
        <v>2142</v>
      </c>
      <c r="V56" s="125">
        <v>7685</v>
      </c>
      <c r="W56" s="206">
        <f>U56/V56</f>
        <v>0.27872478854912164</v>
      </c>
      <c r="X56" s="125">
        <v>308.5</v>
      </c>
      <c r="Y56" s="136">
        <v>2636</v>
      </c>
      <c r="Z56" s="206">
        <f>X56/Y56</f>
        <v>0.11703338391502276</v>
      </c>
    </row>
    <row r="57" spans="1:38">
      <c r="B57" s="246"/>
      <c r="C57" s="188"/>
      <c r="D57" s="149" t="s">
        <v>189</v>
      </c>
      <c r="E57" s="133">
        <f>'WACC BIPT &amp; Cullen 2013'!E57</f>
        <v>1.181979226191376</v>
      </c>
      <c r="F57" s="134">
        <f>'WACC BIPT &amp; Cullen 2013'!F57</f>
        <v>1.413911391796471</v>
      </c>
      <c r="G57" s="135">
        <f>'WACC BIPT &amp; Cullen 2013'!G57</f>
        <v>1.645843557401566</v>
      </c>
      <c r="H57" s="134">
        <f>'WACC BIPT &amp; Cullen 2013'!H57</f>
        <v>1.8484545977412687</v>
      </c>
      <c r="I57" s="134">
        <f>'WACC BIPT &amp; Cullen 2013'!I57</f>
        <v>2.0510656380809715</v>
      </c>
      <c r="J57" s="135">
        <f>'WACC BIPT &amp; Cullen 2013'!J57</f>
        <v>2.2536766784206739</v>
      </c>
      <c r="K57" s="134">
        <f>'WACC BIPT &amp; Cullen 2013'!K57</f>
        <v>2.4419961051722674</v>
      </c>
      <c r="L57" s="687">
        <f>'WACC BIPT &amp; Cullen 2013'!L57</f>
        <v>2.6303155319238605</v>
      </c>
      <c r="M57" s="134">
        <f>'WACC BIPT &amp; Cullen 2013'!M57</f>
        <v>2.7390880160002933</v>
      </c>
      <c r="N57" s="134">
        <f>'WACC BIPT &amp; Cullen 2013'!N57</f>
        <v>2.8478605000767261</v>
      </c>
      <c r="O57" s="134">
        <f>'WACC BIPT &amp; Cullen 2013'!O57</f>
        <v>2.9566329841531589</v>
      </c>
      <c r="P57" s="134">
        <f>'WACC BIPT &amp; Cullen 2013'!P57</f>
        <v>3.0654054682295917</v>
      </c>
      <c r="Q57" s="150">
        <f>'WACC BIPT &amp; Cullen 2013'!Q57</f>
        <v>3.1741779523060245</v>
      </c>
      <c r="R57" s="166"/>
      <c r="T57" s="746">
        <v>2008</v>
      </c>
      <c r="U57" s="207"/>
      <c r="V57" s="207"/>
      <c r="W57" s="207"/>
      <c r="X57" s="207"/>
      <c r="Y57" s="207"/>
      <c r="Z57" s="207"/>
      <c r="AA57" s="123"/>
      <c r="AB57" s="123"/>
      <c r="AC57" s="123"/>
      <c r="AD57" s="123"/>
      <c r="AE57" s="123"/>
      <c r="AF57" s="123"/>
    </row>
    <row r="58" spans="1:38">
      <c r="B58" s="246"/>
      <c r="C58" s="188"/>
      <c r="D58" s="147" t="s">
        <v>135</v>
      </c>
      <c r="E58" s="133">
        <f>'WACC BIPT &amp; Cullen 2013'!E58</f>
        <v>0.70602738853503222</v>
      </c>
      <c r="F58" s="134">
        <f>'WACC BIPT &amp; Cullen 2013'!F58</f>
        <v>0.93795955414012733</v>
      </c>
      <c r="G58" s="135">
        <f>'WACC BIPT &amp; Cullen 2013'!G58</f>
        <v>1.1698917197452223</v>
      </c>
      <c r="H58" s="134">
        <f>'WACC BIPT &amp; Cullen 2013'!H58</f>
        <v>1.3725027600849249</v>
      </c>
      <c r="I58" s="134">
        <f>'WACC BIPT &amp; Cullen 2013'!I58</f>
        <v>1.5751138004246277</v>
      </c>
      <c r="J58" s="135">
        <f>'WACC BIPT &amp; Cullen 2013'!J58</f>
        <v>1.7777248407643302</v>
      </c>
      <c r="K58" s="134">
        <f>'WACC BIPT &amp; Cullen 2013'!K58</f>
        <v>1.9660442675159235</v>
      </c>
      <c r="L58" s="248">
        <f>'WACC BIPT &amp; Cullen 2013'!L58</f>
        <v>2.1543636942675168</v>
      </c>
      <c r="M58" s="134">
        <f>'WACC BIPT &amp; Cullen 2013'!M58</f>
        <v>2.2631361783439496</v>
      </c>
      <c r="N58" s="134">
        <f>'WACC BIPT &amp; Cullen 2013'!N58</f>
        <v>2.3719086624203825</v>
      </c>
      <c r="O58" s="134">
        <f>'WACC BIPT &amp; Cullen 2013'!O58</f>
        <v>2.4806811464968153</v>
      </c>
      <c r="P58" s="134">
        <f>'WACC BIPT &amp; Cullen 2013'!P58</f>
        <v>2.5894536305732481</v>
      </c>
      <c r="Q58" s="150">
        <f>'WACC BIPT &amp; Cullen 2013'!Q58</f>
        <v>2.6982261146496809</v>
      </c>
      <c r="R58" s="166"/>
      <c r="T58" s="746">
        <v>2007</v>
      </c>
      <c r="U58" s="125">
        <v>2520</v>
      </c>
      <c r="V58" s="125">
        <v>11204.1</v>
      </c>
      <c r="W58" s="206">
        <f>U58/V58</f>
        <v>0.22491766406940317</v>
      </c>
      <c r="X58" s="125">
        <v>768</v>
      </c>
      <c r="Y58" s="136">
        <v>3939.9110000000001</v>
      </c>
      <c r="Z58" s="208">
        <f>X58/Y58</f>
        <v>0.19492826106985664</v>
      </c>
      <c r="AA58" s="123"/>
      <c r="AB58" s="123"/>
      <c r="AC58" s="123"/>
      <c r="AD58" s="123"/>
      <c r="AE58" s="123"/>
      <c r="AF58" s="123"/>
    </row>
    <row r="59" spans="1:38">
      <c r="B59" s="212"/>
      <c r="C59" s="188"/>
      <c r="D59" s="149" t="s">
        <v>136</v>
      </c>
      <c r="E59" s="133">
        <f>'WACC BIPT &amp; Cullen 2013'!E59</f>
        <v>1.1401761891359397</v>
      </c>
      <c r="F59" s="134">
        <f>'WACC BIPT &amp; Cullen 2013'!F59</f>
        <v>1.5147275691700326</v>
      </c>
      <c r="G59" s="135">
        <f>'WACC BIPT &amp; Cullen 2013'!G59</f>
        <v>1.8892789492041253</v>
      </c>
      <c r="H59" s="134">
        <f>'WACC BIPT &amp; Cullen 2013'!H59</f>
        <v>2.2164791224590581</v>
      </c>
      <c r="I59" s="134">
        <f>'WACC BIPT &amp; Cullen 2013'!I59</f>
        <v>2.5436792957139911</v>
      </c>
      <c r="J59" s="135">
        <f>'WACC BIPT &amp; Cullen 2013'!J59</f>
        <v>2.8708794689689237</v>
      </c>
      <c r="K59" s="134">
        <f>'WACC BIPT &amp; Cullen 2013'!K59</f>
        <v>3.174999861209546</v>
      </c>
      <c r="L59" s="248">
        <f>'WACC BIPT &amp; Cullen 2013'!L59</f>
        <v>3.4791202534501688</v>
      </c>
      <c r="M59" s="134">
        <f>'WACC BIPT &amp; Cullen 2013'!M59</f>
        <v>3.6547788729188144</v>
      </c>
      <c r="N59" s="134">
        <f>'WACC BIPT &amp; Cullen 2013'!N59</f>
        <v>3.83043749238746</v>
      </c>
      <c r="O59" s="134">
        <f>'WACC BIPT &amp; Cullen 2013'!O59</f>
        <v>4.006096111856106</v>
      </c>
      <c r="P59" s="134">
        <f>'WACC BIPT &amp; Cullen 2013'!P59</f>
        <v>4.1817547313247516</v>
      </c>
      <c r="Q59" s="150">
        <f>'WACC BIPT &amp; Cullen 2013'!Q59</f>
        <v>4.3574133507933972</v>
      </c>
      <c r="R59" s="166"/>
      <c r="T59" s="746">
        <v>2006</v>
      </c>
      <c r="U59" s="125">
        <v>2391</v>
      </c>
      <c r="V59" s="125">
        <v>11144.3</v>
      </c>
      <c r="W59" s="206">
        <f>U59/V59</f>
        <v>0.21454914171370118</v>
      </c>
      <c r="X59" s="125">
        <v>763.7</v>
      </c>
      <c r="Y59" s="136">
        <v>4091.6930000000002</v>
      </c>
      <c r="Z59" s="208">
        <f>X59/Y59</f>
        <v>0.18664645661343604</v>
      </c>
      <c r="AA59" s="123"/>
      <c r="AB59" s="123"/>
      <c r="AC59" s="123"/>
      <c r="AD59" s="123"/>
      <c r="AE59" s="123"/>
      <c r="AF59" s="123"/>
    </row>
    <row r="60" spans="1:38">
      <c r="B60" s="211" t="s">
        <v>134</v>
      </c>
      <c r="C60" s="189"/>
      <c r="D60" s="147" t="s">
        <v>151</v>
      </c>
      <c r="E60" s="117" t="s">
        <v>152</v>
      </c>
      <c r="F60" s="118" t="s">
        <v>153</v>
      </c>
      <c r="G60" s="119" t="s">
        <v>154</v>
      </c>
      <c r="H60" s="118" t="s">
        <v>155</v>
      </c>
      <c r="I60" s="118" t="s">
        <v>156</v>
      </c>
      <c r="J60" s="119" t="s">
        <v>157</v>
      </c>
      <c r="K60" s="118" t="s">
        <v>158</v>
      </c>
      <c r="L60" s="120" t="s">
        <v>159</v>
      </c>
      <c r="M60" s="118" t="s">
        <v>160</v>
      </c>
      <c r="N60" s="118" t="s">
        <v>161</v>
      </c>
      <c r="O60" s="118" t="s">
        <v>162</v>
      </c>
      <c r="P60" s="118" t="s">
        <v>163</v>
      </c>
      <c r="Q60" s="148" t="s">
        <v>164</v>
      </c>
      <c r="R60" s="166"/>
      <c r="T60" s="258">
        <v>2005</v>
      </c>
      <c r="U60" s="136">
        <v>2221</v>
      </c>
      <c r="V60" s="136">
        <v>9378</v>
      </c>
      <c r="W60" s="206">
        <f>U60/V60</f>
        <v>0.23683088078481554</v>
      </c>
      <c r="X60" s="136">
        <v>716.2</v>
      </c>
      <c r="Y60" s="136">
        <v>4238</v>
      </c>
      <c r="Z60" s="206">
        <f>X60/Y60</f>
        <v>0.16899480887210949</v>
      </c>
      <c r="AA60" s="123"/>
      <c r="AB60" s="123"/>
      <c r="AC60" s="123"/>
      <c r="AD60" s="123"/>
      <c r="AE60" s="123"/>
      <c r="AF60" s="123"/>
    </row>
    <row r="61" spans="1:38">
      <c r="B61" s="246"/>
      <c r="C61" s="188"/>
      <c r="D61" s="149" t="s">
        <v>189</v>
      </c>
      <c r="E61" s="133">
        <f>'WACC BIPT &amp; Cullen 2013'!E61</f>
        <v>0.24410859326202269</v>
      </c>
      <c r="F61" s="134">
        <f>'WACC BIPT &amp; Cullen 2013'!F61</f>
        <v>0.30865992510707513</v>
      </c>
      <c r="G61" s="135">
        <f>'WACC BIPT &amp; Cullen 2013'!G61</f>
        <v>0.40514970566355185</v>
      </c>
      <c r="H61" s="134">
        <f>'WACC BIPT &amp; Cullen 2013'!H61</f>
        <v>0.46576143995138364</v>
      </c>
      <c r="I61" s="134">
        <f>'WACC BIPT &amp; Cullen 2013'!I61</f>
        <v>0.54300242318893399</v>
      </c>
      <c r="J61" s="135">
        <f>'WACC BIPT &amp; Cullen 2013'!J61</f>
        <v>0.6448042195186755</v>
      </c>
      <c r="K61" s="134">
        <f>'WACC BIPT &amp; Cullen 2013'!K61</f>
        <v>0.64271104592942219</v>
      </c>
      <c r="L61" s="687">
        <f>'WACC BIPT &amp; Cullen 2013'!L61</f>
        <v>0.64031868806607062</v>
      </c>
      <c r="M61" s="134">
        <f>'WACC BIPT &amp; Cullen 2013'!M61</f>
        <v>0.63978855783819</v>
      </c>
      <c r="N61" s="134">
        <f>'WACC BIPT &amp; Cullen 2013'!N61</f>
        <v>0.63921848005438198</v>
      </c>
      <c r="O61" s="134">
        <f>'WACC BIPT &amp; Cullen 2013'!O61</f>
        <v>0.63860376260335916</v>
      </c>
      <c r="P61" s="134">
        <f>'WACC BIPT &amp; Cullen 2013'!P61</f>
        <v>0.63793894860433586</v>
      </c>
      <c r="Q61" s="150">
        <f>'WACC BIPT &amp; Cullen 2013'!Q61</f>
        <v>0.63721765397564589</v>
      </c>
      <c r="R61" s="166"/>
      <c r="T61" s="259" t="s">
        <v>174</v>
      </c>
      <c r="U61" s="203"/>
      <c r="V61" s="209"/>
      <c r="W61" s="206">
        <f>AVERAGE(W56,W58:W60)</f>
        <v>0.23875561877926038</v>
      </c>
      <c r="X61" s="202"/>
      <c r="Y61" s="202"/>
      <c r="Z61" s="206">
        <f>AVERAGE(Z56,Z58:Z60)</f>
        <v>0.16690072761760621</v>
      </c>
      <c r="AA61" s="123"/>
      <c r="AB61" s="123"/>
      <c r="AC61" s="123"/>
      <c r="AD61" s="123"/>
      <c r="AE61" s="123"/>
      <c r="AF61" s="123"/>
    </row>
    <row r="62" spans="1:38">
      <c r="B62" s="246"/>
      <c r="C62" s="188"/>
      <c r="D62" s="147" t="s">
        <v>135</v>
      </c>
      <c r="E62" s="133">
        <f>'WACC BIPT &amp; Cullen 2013'!E62</f>
        <v>0.246048237219228</v>
      </c>
      <c r="F62" s="134">
        <f>'WACC BIPT &amp; Cullen 2013'!F62</f>
        <v>0.31111248259620355</v>
      </c>
      <c r="G62" s="135">
        <f>'WACC BIPT &amp; Cullen 2013'!G62</f>
        <v>0.40836895398190298</v>
      </c>
      <c r="H62" s="134">
        <f>'WACC BIPT &amp; Cullen 2013'!H62</f>
        <v>0.46946229845221993</v>
      </c>
      <c r="I62" s="134">
        <f>'WACC BIPT &amp; Cullen 2013'!I62</f>
        <v>0.54731702496026824</v>
      </c>
      <c r="J62" s="135">
        <f>'WACC BIPT &amp; Cullen 2013'!J62</f>
        <v>0.64992772046248459</v>
      </c>
      <c r="K62" s="134">
        <f>'WACC BIPT &amp; Cullen 2013'!K62</f>
        <v>0.64781791488396157</v>
      </c>
      <c r="L62" s="248">
        <f>'WACC BIPT &amp; Cullen 2013'!L62</f>
        <v>0.64540654776570794</v>
      </c>
      <c r="M62" s="134">
        <f>'WACC BIPT &amp; Cullen 2013'!M62</f>
        <v>0.64487220521625632</v>
      </c>
      <c r="N62" s="134">
        <f>'WACC BIPT &amp; Cullen 2013'!N62</f>
        <v>0.64429759769462258</v>
      </c>
      <c r="O62" s="134">
        <f>'WACC BIPT &amp; Cullen 2013'!O62</f>
        <v>0.64367799580682783</v>
      </c>
      <c r="P62" s="134">
        <f>'WACC BIPT &amp; Cullen 2013'!P62</f>
        <v>0.64300789931267133</v>
      </c>
      <c r="Q62" s="150">
        <f>'WACC BIPT &amp; Cullen 2013'!Q62</f>
        <v>0.64228087340369655</v>
      </c>
      <c r="R62" s="166"/>
      <c r="T62" s="203"/>
      <c r="U62" s="203"/>
      <c r="V62" s="203"/>
      <c r="W62" s="724">
        <f>1/W61</f>
        <v>4.1883831053397831</v>
      </c>
      <c r="X62" s="203"/>
      <c r="Y62" s="203"/>
      <c r="Z62" s="724">
        <f>1/Z61</f>
        <v>5.9915856226291897</v>
      </c>
      <c r="AA62" s="123"/>
      <c r="AB62" s="123"/>
      <c r="AC62" s="123"/>
      <c r="AD62" s="123"/>
      <c r="AE62" s="123"/>
      <c r="AF62" s="123"/>
    </row>
    <row r="63" spans="1:38">
      <c r="B63" s="212"/>
      <c r="C63" s="188"/>
      <c r="D63" s="149" t="s">
        <v>136</v>
      </c>
      <c r="E63" s="142">
        <f>'WACC BIPT &amp; Cullen 2013'!E63</f>
        <v>0.25524598219990707</v>
      </c>
      <c r="F63" s="141">
        <f>'WACC BIPT &amp; Cullen 2013'!F63</f>
        <v>0.33692344529540552</v>
      </c>
      <c r="G63" s="143">
        <f>'WACC BIPT &amp; Cullen 2013'!G63</f>
        <v>0.45901295553838306</v>
      </c>
      <c r="H63" s="141">
        <f>'WACC BIPT &amp; Cullen 2013'!H63</f>
        <v>0.52174359742978005</v>
      </c>
      <c r="I63" s="141">
        <f>'WACC BIPT &amp; Cullen 2013'!I63</f>
        <v>0.60168482524227784</v>
      </c>
      <c r="J63" s="143">
        <f>'WACC BIPT &amp; Cullen 2013'!J63</f>
        <v>0.70704548031173697</v>
      </c>
      <c r="K63" s="141">
        <f>'WACC BIPT &amp; Cullen 2013'!K63</f>
        <v>0.73490151829922967</v>
      </c>
      <c r="L63" s="161">
        <f>'WACC BIPT &amp; Cullen 2013'!L63</f>
        <v>0.76673911259305505</v>
      </c>
      <c r="M63" s="141">
        <f>'WACC BIPT &amp; Cullen 2013'!M63</f>
        <v>0.77747232979641689</v>
      </c>
      <c r="N63" s="141">
        <f>'WACC BIPT &amp; Cullen 2013'!N63</f>
        <v>0.78901434033387807</v>
      </c>
      <c r="O63" s="141">
        <f>'WACC BIPT &amp; Cullen 2013'!O63</f>
        <v>0.80146014246612851</v>
      </c>
      <c r="P63" s="141">
        <f>'WACC BIPT &amp; Cullen 2013'!P63</f>
        <v>0.81492021826652195</v>
      </c>
      <c r="Q63" s="153">
        <f>'WACC BIPT &amp; Cullen 2013'!Q63</f>
        <v>0.82952382226831622</v>
      </c>
      <c r="R63" s="166"/>
      <c r="T63" s="123"/>
      <c r="U63" s="123"/>
      <c r="V63" s="123"/>
      <c r="W63" s="123"/>
      <c r="X63" s="123"/>
      <c r="Y63" s="123"/>
      <c r="Z63" s="123"/>
      <c r="AA63" s="123"/>
      <c r="AB63" s="123"/>
      <c r="AC63" s="123"/>
      <c r="AD63" s="123"/>
      <c r="AE63" s="123"/>
      <c r="AF63" s="123"/>
    </row>
    <row r="64" spans="1:38">
      <c r="B64" s="211" t="s">
        <v>435</v>
      </c>
      <c r="C64" s="189"/>
      <c r="D64" s="147" t="s">
        <v>151</v>
      </c>
      <c r="E64" s="679" t="s">
        <v>152</v>
      </c>
      <c r="F64" s="680" t="s">
        <v>153</v>
      </c>
      <c r="G64" s="681" t="s">
        <v>154</v>
      </c>
      <c r="H64" s="680" t="s">
        <v>155</v>
      </c>
      <c r="I64" s="680" t="s">
        <v>156</v>
      </c>
      <c r="J64" s="681" t="s">
        <v>157</v>
      </c>
      <c r="K64" s="680" t="s">
        <v>158</v>
      </c>
      <c r="L64" s="655" t="s">
        <v>159</v>
      </c>
      <c r="M64" s="680" t="s">
        <v>160</v>
      </c>
      <c r="N64" s="680" t="s">
        <v>161</v>
      </c>
      <c r="O64" s="680" t="s">
        <v>162</v>
      </c>
      <c r="P64" s="680" t="s">
        <v>163</v>
      </c>
      <c r="Q64" s="682" t="s">
        <v>164</v>
      </c>
      <c r="R64" s="166"/>
      <c r="T64" s="885"/>
      <c r="U64" s="885"/>
      <c r="V64" s="885"/>
      <c r="W64" s="885"/>
      <c r="X64" s="885"/>
      <c r="Y64" s="885"/>
      <c r="Z64" s="885"/>
      <c r="AA64" s="885"/>
      <c r="AB64" s="885"/>
      <c r="AC64" s="885"/>
      <c r="AD64" s="885"/>
      <c r="AE64" s="885"/>
      <c r="AF64" s="885"/>
      <c r="AG64" s="769"/>
      <c r="AH64" s="753"/>
    </row>
    <row r="65" spans="2:37">
      <c r="B65" s="213"/>
      <c r="C65" s="188"/>
      <c r="D65" s="683"/>
      <c r="E65" s="688">
        <v>1</v>
      </c>
      <c r="F65" s="689">
        <v>2</v>
      </c>
      <c r="G65" s="689">
        <v>3</v>
      </c>
      <c r="H65" s="689">
        <v>4</v>
      </c>
      <c r="I65" s="689">
        <v>5</v>
      </c>
      <c r="J65" s="689">
        <v>6</v>
      </c>
      <c r="K65" s="689">
        <v>7</v>
      </c>
      <c r="L65" s="689">
        <v>8</v>
      </c>
      <c r="M65" s="689">
        <v>9</v>
      </c>
      <c r="N65" s="689">
        <v>10</v>
      </c>
      <c r="O65" s="689">
        <v>11</v>
      </c>
      <c r="P65" s="689">
        <v>12</v>
      </c>
      <c r="Q65" s="690">
        <v>13</v>
      </c>
      <c r="R65" s="166"/>
      <c r="T65" s="885"/>
      <c r="U65" s="885"/>
      <c r="V65" s="885"/>
      <c r="W65" s="885"/>
      <c r="X65" s="885"/>
      <c r="Y65" s="885"/>
      <c r="Z65" s="885"/>
      <c r="AA65" s="885"/>
      <c r="AB65" s="885"/>
      <c r="AC65" s="885"/>
      <c r="AD65" s="885"/>
      <c r="AE65" s="885"/>
      <c r="AF65" s="885"/>
      <c r="AG65" s="769"/>
      <c r="AH65" s="753"/>
    </row>
    <row r="66" spans="2:37">
      <c r="B66" s="247"/>
      <c r="C66" s="190" t="str">
        <f>'[1]Calculation Rf &amp; Cd'!$AH$1</f>
        <v>A</v>
      </c>
      <c r="D66" s="691">
        <v>1</v>
      </c>
      <c r="E66" s="137">
        <f>'WACC BIPT &amp; Cullen 2013'!E66</f>
        <v>2.1337104363824571</v>
      </c>
      <c r="F66" s="138">
        <f>'WACC BIPT &amp; Cullen 2013'!F66</f>
        <v>2.3919524745990182</v>
      </c>
      <c r="G66" s="139">
        <f>'WACC BIPT &amp; Cullen 2013'!G66</f>
        <v>2.6501945128155793</v>
      </c>
      <c r="H66" s="138">
        <f>'WACC BIPT &amp; Cullen 2013'!H66</f>
        <v>2.8934611794822458</v>
      </c>
      <c r="I66" s="138">
        <f>'WACC BIPT &amp; Cullen 2013'!I66</f>
        <v>3.1367278461489128</v>
      </c>
      <c r="J66" s="139">
        <f>'WACC BIPT &amp; Cullen 2013'!J66</f>
        <v>3.3799945128155793</v>
      </c>
      <c r="K66" s="138">
        <f>'WACC BIPT &amp; Cullen 2013'!K66</f>
        <v>3.5365734937072988</v>
      </c>
      <c r="L66" s="692">
        <f>'WACC BIPT &amp; Cullen 2013'!L66</f>
        <v>3.6931524745990187</v>
      </c>
      <c r="M66" s="138">
        <f>'WACC BIPT &amp; Cullen 2013'!M66</f>
        <v>3.8279892898856436</v>
      </c>
      <c r="N66" s="138">
        <f>'WACC BIPT &amp; Cullen 2013'!N66</f>
        <v>3.9628261051722684</v>
      </c>
      <c r="O66" s="138">
        <f>'WACC BIPT &amp; Cullen 2013'!O66</f>
        <v>4.0976629204588937</v>
      </c>
      <c r="P66" s="138">
        <f>'WACC BIPT &amp; Cullen 2013'!P66</f>
        <v>4.2324997357455185</v>
      </c>
      <c r="Q66" s="151">
        <f>'WACC BIPT &amp; Cullen 2013'!Q66</f>
        <v>4.3673365510321434</v>
      </c>
      <c r="R66" s="166"/>
      <c r="T66" s="885"/>
      <c r="U66" s="885"/>
      <c r="V66" s="885"/>
      <c r="W66" s="885"/>
      <c r="X66" s="885"/>
      <c r="Y66" s="885"/>
      <c r="Z66" s="885"/>
      <c r="AA66" s="885"/>
      <c r="AB66" s="885"/>
      <c r="AC66" s="885"/>
      <c r="AD66" s="885"/>
      <c r="AE66" s="885"/>
      <c r="AF66" s="885"/>
      <c r="AG66" s="769"/>
      <c r="AH66" s="753"/>
    </row>
    <row r="67" spans="2:37">
      <c r="B67" s="166"/>
      <c r="C67" s="191" t="s">
        <v>143</v>
      </c>
      <c r="D67" s="691">
        <v>2</v>
      </c>
      <c r="E67" s="140">
        <f>'WACC BIPT &amp; Cullen 2013'!E67</f>
        <v>2.3036330478474256</v>
      </c>
      <c r="F67" s="141">
        <f>'WACC BIPT &amp; Cullen 2013'!F67</f>
        <v>2.6097370287391453</v>
      </c>
      <c r="G67" s="141">
        <f>'WACC BIPT &amp; Cullen 2013'!G67</f>
        <v>2.9158410096308653</v>
      </c>
      <c r="H67" s="141">
        <f>'WACC BIPT &amp; Cullen 2013'!H67</f>
        <v>3.1335437697157911</v>
      </c>
      <c r="I67" s="141">
        <f>'WACC BIPT &amp; Cullen 2013'!I67</f>
        <v>3.3512465298007168</v>
      </c>
      <c r="J67" s="141">
        <f>'WACC BIPT &amp; Cullen 2013'!J67</f>
        <v>3.5689492898856425</v>
      </c>
      <c r="K67" s="141">
        <f>'WACC BIPT &amp; Cullen 2013'!K67</f>
        <v>3.7187279523060255</v>
      </c>
      <c r="L67" s="693">
        <f>'WACC BIPT &amp; Cullen 2013'!L67</f>
        <v>3.868506614726408</v>
      </c>
      <c r="M67" s="141">
        <f>'WACC BIPT &amp; Cullen 2013'!M67</f>
        <v>4.01071272937609</v>
      </c>
      <c r="N67" s="141">
        <f>'WACC BIPT &amp; Cullen 2013'!N67</f>
        <v>4.1529188440257716</v>
      </c>
      <c r="O67" s="141">
        <f>'WACC BIPT &amp; Cullen 2013'!O67</f>
        <v>4.2951249586754532</v>
      </c>
      <c r="P67" s="141">
        <f>'WACC BIPT &amp; Cullen 2013'!P67</f>
        <v>4.4373310733251348</v>
      </c>
      <c r="Q67" s="152">
        <f>'WACC BIPT &amp; Cullen 2013'!Q67</f>
        <v>4.5795371879748163</v>
      </c>
      <c r="R67" s="166"/>
      <c r="T67" s="885"/>
      <c r="U67" s="885"/>
      <c r="V67" s="885"/>
      <c r="W67" s="885"/>
      <c r="X67" s="885"/>
      <c r="Y67" s="885"/>
      <c r="Z67" s="885"/>
      <c r="AA67" s="885"/>
      <c r="AB67" s="885"/>
      <c r="AC67" s="885"/>
      <c r="AD67" s="885"/>
      <c r="AE67" s="885"/>
      <c r="AF67" s="885"/>
      <c r="AG67" s="769"/>
      <c r="AH67" s="753"/>
    </row>
    <row r="68" spans="2:37">
      <c r="B68" s="166"/>
      <c r="C68" s="192" t="str">
        <f>'[1]Calculation Rf &amp; Cd'!$AO$1</f>
        <v>BBB+</v>
      </c>
      <c r="D68" s="691">
        <v>3</v>
      </c>
      <c r="E68" s="142">
        <f>'WACC BIPT &amp; Cullen 2013'!E68</f>
        <v>2.4735556593123946</v>
      </c>
      <c r="F68" s="141">
        <f>'WACC BIPT &amp; Cullen 2013'!F68</f>
        <v>2.8275215828792728</v>
      </c>
      <c r="G68" s="143">
        <f>'WACC BIPT &amp; Cullen 2013'!G68</f>
        <v>3.1814875064461514</v>
      </c>
      <c r="H68" s="141">
        <f>'WACC BIPT &amp; Cullen 2013'!H68</f>
        <v>3.3736263599493364</v>
      </c>
      <c r="I68" s="141">
        <f>'WACC BIPT &amp; Cullen 2013'!I68</f>
        <v>3.5657652134525213</v>
      </c>
      <c r="J68" s="143">
        <f>'WACC BIPT &amp; Cullen 2013'!J68</f>
        <v>3.7579040669557062</v>
      </c>
      <c r="K68" s="141">
        <f>'WACC BIPT &amp; Cullen 2013'!K68</f>
        <v>3.9008824109047517</v>
      </c>
      <c r="L68" s="694">
        <f>'WACC BIPT &amp; Cullen 2013'!L68</f>
        <v>4.0438607548537977</v>
      </c>
      <c r="M68" s="141">
        <f>'WACC BIPT &amp; Cullen 2013'!M68</f>
        <v>4.193436168866536</v>
      </c>
      <c r="N68" s="141">
        <f>'WACC BIPT &amp; Cullen 2013'!N68</f>
        <v>4.3430115828792744</v>
      </c>
      <c r="O68" s="141">
        <f>'WACC BIPT &amp; Cullen 2013'!O68</f>
        <v>4.4925869968920127</v>
      </c>
      <c r="P68" s="141">
        <f>'WACC BIPT &amp; Cullen 2013'!P68</f>
        <v>4.642162410904751</v>
      </c>
      <c r="Q68" s="153">
        <f>'WACC BIPT &amp; Cullen 2013'!Q68</f>
        <v>4.7917378249174893</v>
      </c>
      <c r="R68" s="166"/>
      <c r="T68" s="885"/>
      <c r="U68" s="885"/>
      <c r="V68" s="885"/>
      <c r="W68" s="885"/>
      <c r="X68" s="885"/>
      <c r="Y68" s="885"/>
      <c r="Z68" s="885"/>
      <c r="AA68" s="885"/>
      <c r="AB68" s="885"/>
      <c r="AC68" s="885"/>
      <c r="AD68" s="885"/>
      <c r="AE68" s="885"/>
      <c r="AF68" s="885"/>
      <c r="AG68" s="769"/>
      <c r="AH68" s="753"/>
    </row>
    <row r="69" spans="2:37">
      <c r="B69" s="166"/>
      <c r="C69" s="192" t="str">
        <f>'[1]Calculation Rf &amp; Cd'!$AV$1</f>
        <v>BBB</v>
      </c>
      <c r="D69" s="691">
        <v>4</v>
      </c>
      <c r="E69" s="142">
        <f>'WACC BIPT &amp; Cullen 2013'!E69</f>
        <v>2.7522378249174908</v>
      </c>
      <c r="F69" s="141">
        <f>'WACC BIPT &amp; Cullen 2013'!F69</f>
        <v>3.1118492898856434</v>
      </c>
      <c r="G69" s="143">
        <f>'WACC BIPT &amp; Cullen 2013'!G69</f>
        <v>3.4714607548537959</v>
      </c>
      <c r="H69" s="141">
        <f>'WACC BIPT &amp; Cullen 2013'!H69</f>
        <v>3.6469025807561315</v>
      </c>
      <c r="I69" s="141">
        <f>'WACC BIPT &amp; Cullen 2013'!I69</f>
        <v>3.8223444066584666</v>
      </c>
      <c r="J69" s="143">
        <f>'WACC BIPT &amp; Cullen 2013'!J69</f>
        <v>3.9977862325608022</v>
      </c>
      <c r="K69" s="141">
        <f>'WACC BIPT &amp; Cullen 2013'!K69</f>
        <v>4.1464375064461523</v>
      </c>
      <c r="L69" s="694">
        <f>'WACC BIPT &amp; Cullen 2013'!L69</f>
        <v>4.2950887803315023</v>
      </c>
      <c r="M69" s="141" t="str">
        <f>'WACC BIPT &amp; Cullen 2013'!M69</f>
        <v>N/a</v>
      </c>
      <c r="N69" s="141" t="str">
        <f>'WACC BIPT &amp; Cullen 2013'!N69</f>
        <v>N/a</v>
      </c>
      <c r="O69" s="141" t="str">
        <f>'WACC BIPT &amp; Cullen 2013'!O69</f>
        <v>N/a</v>
      </c>
      <c r="P69" s="141" t="str">
        <f>'WACC BIPT &amp; Cullen 2013'!P69</f>
        <v>N/a</v>
      </c>
      <c r="Q69" s="153" t="str">
        <f>'WACC BIPT &amp; Cullen 2013'!Q69</f>
        <v>N/a</v>
      </c>
      <c r="R69" s="166"/>
      <c r="T69" s="885"/>
      <c r="U69" s="885"/>
      <c r="V69" s="885"/>
      <c r="W69" s="885"/>
      <c r="X69" s="885"/>
      <c r="Y69" s="885"/>
      <c r="Z69" s="885"/>
      <c r="AA69" s="885"/>
      <c r="AB69" s="885"/>
      <c r="AC69" s="885"/>
      <c r="AD69" s="885"/>
      <c r="AE69" s="885"/>
      <c r="AF69" s="885"/>
      <c r="AG69" s="769"/>
      <c r="AH69" s="753"/>
    </row>
    <row r="70" spans="2:37">
      <c r="B70" s="166"/>
      <c r="C70" s="192" t="str">
        <f>'[1]Calculation Rf &amp; Cd'!$BC$1</f>
        <v>BBB-</v>
      </c>
      <c r="D70" s="691">
        <v>5</v>
      </c>
      <c r="E70" s="142">
        <f>'WACC BIPT &amp; Cullen 2013'!E70</f>
        <v>3.1330741306499759</v>
      </c>
      <c r="F70" s="141">
        <f>'WACC BIPT &amp; Cullen 2013'!F70</f>
        <v>3.5635604363824585</v>
      </c>
      <c r="G70" s="143">
        <f>'WACC BIPT &amp; Cullen 2013'!G70</f>
        <v>3.994046742114941</v>
      </c>
      <c r="H70" s="141">
        <f>'WACC BIPT &amp; Cullen 2013'!H70</f>
        <v>4.2443760414779979</v>
      </c>
      <c r="I70" s="141">
        <f>'WACC BIPT &amp; Cullen 2013'!I70</f>
        <v>4.4947053408410547</v>
      </c>
      <c r="J70" s="143">
        <f>'WACC BIPT &amp; Cullen 2013'!J70</f>
        <v>4.7450346402041115</v>
      </c>
      <c r="K70" s="141">
        <f>'WACC BIPT &amp; Cullen 2013'!K70</f>
        <v>4.8362518376563424</v>
      </c>
      <c r="L70" s="694">
        <f>'WACC BIPT &amp; Cullen 2013'!L70</f>
        <v>4.9274690351085733</v>
      </c>
      <c r="M70" s="141" t="str">
        <f>'WACC BIPT &amp; Cullen 2013'!M70</f>
        <v>N/a</v>
      </c>
      <c r="N70" s="141" t="str">
        <f>'WACC BIPT &amp; Cullen 2013'!N70</f>
        <v>N/a</v>
      </c>
      <c r="O70" s="141" t="str">
        <f>'WACC BIPT &amp; Cullen 2013'!O70</f>
        <v>N/a</v>
      </c>
      <c r="P70" s="141" t="str">
        <f>'WACC BIPT &amp; Cullen 2013'!P70</f>
        <v>N/a</v>
      </c>
      <c r="Q70" s="153" t="str">
        <f>'WACC BIPT &amp; Cullen 2013'!Q70</f>
        <v>N/a</v>
      </c>
      <c r="R70" s="166"/>
      <c r="T70" s="885"/>
      <c r="U70" s="885"/>
      <c r="V70" s="885"/>
      <c r="W70" s="885"/>
      <c r="X70" s="885"/>
      <c r="Y70" s="885"/>
      <c r="Z70" s="885"/>
      <c r="AA70" s="885"/>
      <c r="AB70" s="885"/>
      <c r="AC70" s="885"/>
      <c r="AD70" s="885"/>
      <c r="AE70" s="885"/>
      <c r="AF70" s="885"/>
      <c r="AG70" s="769"/>
      <c r="AH70" s="753"/>
    </row>
    <row r="71" spans="2:37">
      <c r="B71" s="166"/>
      <c r="C71" s="191" t="s">
        <v>148</v>
      </c>
      <c r="D71" s="691">
        <v>6</v>
      </c>
      <c r="E71" s="140">
        <f>'WACC BIPT &amp; Cullen 2013'!E71</f>
        <v>3.6143766784206774</v>
      </c>
      <c r="F71" s="141">
        <f>'WACC BIPT &amp; Cullen 2013'!F71</f>
        <v>4.1658338440257703</v>
      </c>
      <c r="G71" s="141">
        <f>'WACC BIPT &amp; Cullen 2013'!G71</f>
        <v>4.7172910096308636</v>
      </c>
      <c r="H71" s="141">
        <f>'WACC BIPT &amp; Cullen 2013'!H71</f>
        <v>5.0312487591000785</v>
      </c>
      <c r="I71" s="141">
        <f>'WACC BIPT &amp; Cullen 2013'!I71</f>
        <v>5.3452065085692935</v>
      </c>
      <c r="J71" s="141">
        <f>'WACC BIPT &amp; Cullen 2013'!J71</f>
        <v>5.6591642580385075</v>
      </c>
      <c r="K71" s="141">
        <f>'WACC BIPT &amp; Cullen 2013'!K71</f>
        <v>5.7475246083569802</v>
      </c>
      <c r="L71" s="693">
        <f>'WACC BIPT &amp; Cullen 2013'!L71</f>
        <v>5.835884958675452</v>
      </c>
      <c r="M71" s="141" t="str">
        <f>'WACC BIPT &amp; Cullen 2013'!M71</f>
        <v>N/a</v>
      </c>
      <c r="N71" s="141" t="str">
        <f>'WACC BIPT &amp; Cullen 2013'!N71</f>
        <v>N/a</v>
      </c>
      <c r="O71" s="141" t="str">
        <f>'WACC BIPT &amp; Cullen 2013'!O71</f>
        <v>N/a</v>
      </c>
      <c r="P71" s="141" t="str">
        <f>'WACC BIPT &amp; Cullen 2013'!P71</f>
        <v>N/a</v>
      </c>
      <c r="Q71" s="153" t="str">
        <f>'WACC BIPT &amp; Cullen 2013'!Q71</f>
        <v>N/a</v>
      </c>
      <c r="R71" s="166"/>
      <c r="T71" s="885"/>
      <c r="U71" s="885"/>
      <c r="V71" s="885"/>
      <c r="W71" s="885"/>
      <c r="X71" s="885"/>
      <c r="Y71" s="885"/>
      <c r="Z71" s="885"/>
      <c r="AA71" s="885"/>
      <c r="AB71" s="885"/>
      <c r="AC71" s="885"/>
      <c r="AD71" s="885"/>
      <c r="AE71" s="885"/>
      <c r="AF71" s="885"/>
      <c r="AG71" s="769"/>
      <c r="AH71" s="753"/>
    </row>
    <row r="72" spans="2:37">
      <c r="B72" s="166"/>
      <c r="C72" s="192" t="str">
        <f>'[1]Calculation Rf &amp; Cd'!$BJ$1</f>
        <v>BB</v>
      </c>
      <c r="D72" s="691">
        <v>7</v>
      </c>
      <c r="E72" s="142">
        <f>'WACC BIPT &amp; Cullen 2013'!E72</f>
        <v>4.095679226191379</v>
      </c>
      <c r="F72" s="141">
        <f>'WACC BIPT &amp; Cullen 2013'!F72</f>
        <v>4.7681072516690834</v>
      </c>
      <c r="G72" s="143">
        <f>'WACC BIPT &amp; Cullen 2013'!G72</f>
        <v>5.440535277146787</v>
      </c>
      <c r="H72" s="141">
        <f>'WACC BIPT &amp; Cullen 2013'!H72</f>
        <v>5.8181214767221592</v>
      </c>
      <c r="I72" s="141">
        <f>'WACC BIPT &amp; Cullen 2013'!I72</f>
        <v>6.1957076762975314</v>
      </c>
      <c r="J72" s="143">
        <f>'WACC BIPT &amp; Cullen 2013'!J72</f>
        <v>6.5732938758729036</v>
      </c>
      <c r="K72" s="141">
        <f>'WACC BIPT &amp; Cullen 2013'!K72</f>
        <v>6.6587973790576171</v>
      </c>
      <c r="L72" s="694">
        <f>'WACC BIPT &amp; Cullen 2013'!L72</f>
        <v>6.7443008822423307</v>
      </c>
      <c r="M72" s="141" t="str">
        <f>'WACC BIPT &amp; Cullen 2013'!M72</f>
        <v>N/a</v>
      </c>
      <c r="N72" s="141" t="str">
        <f>'WACC BIPT &amp; Cullen 2013'!N72</f>
        <v>N/a</v>
      </c>
      <c r="O72" s="141" t="str">
        <f>'WACC BIPT &amp; Cullen 2013'!O72</f>
        <v>N/a</v>
      </c>
      <c r="P72" s="141" t="str">
        <f>'WACC BIPT &amp; Cullen 2013'!P72</f>
        <v>N/a</v>
      </c>
      <c r="Q72" s="153" t="str">
        <f>'WACC BIPT &amp; Cullen 2013'!Q72</f>
        <v>N/a</v>
      </c>
      <c r="R72" s="166"/>
      <c r="T72" s="885"/>
      <c r="U72" s="885"/>
      <c r="V72" s="885"/>
      <c r="W72" s="885"/>
      <c r="X72" s="885"/>
      <c r="Y72" s="885"/>
      <c r="Z72" s="885"/>
      <c r="AA72" s="885"/>
      <c r="AB72" s="885"/>
      <c r="AC72" s="885"/>
      <c r="AD72" s="885"/>
      <c r="AE72" s="885"/>
      <c r="AF72" s="885"/>
      <c r="AG72" s="769"/>
      <c r="AH72" s="753"/>
    </row>
    <row r="73" spans="2:37">
      <c r="B73" s="166"/>
      <c r="C73" s="193" t="s">
        <v>149</v>
      </c>
      <c r="D73" s="691">
        <v>8</v>
      </c>
      <c r="E73" s="144">
        <f>'WACC BIPT &amp; Cullen 2013'!E73</f>
        <v>4.6732422835162213</v>
      </c>
      <c r="F73" s="141">
        <f>'WACC BIPT &amp; Cullen 2013'!F73</f>
        <v>5.4908353408410582</v>
      </c>
      <c r="G73" s="126">
        <f>'WACC BIPT &amp; Cullen 2013'!G73</f>
        <v>6.3084283981658951</v>
      </c>
      <c r="H73" s="141">
        <f>'WACC BIPT &amp; Cullen 2013'!H73</f>
        <v>6.7623687378686563</v>
      </c>
      <c r="I73" s="141">
        <f>'WACC BIPT &amp; Cullen 2013'!I73</f>
        <v>7.2163090775714176</v>
      </c>
      <c r="J73" s="126">
        <f>'WACC BIPT &amp; Cullen 2013'!J73</f>
        <v>7.6702494172741789</v>
      </c>
      <c r="K73" s="141">
        <f>'WACC BIPT &amp; Cullen 2013'!K73</f>
        <v>6.9625549692911628</v>
      </c>
      <c r="L73" s="695">
        <f>'WACC BIPT &amp; Cullen 2013'!L73</f>
        <v>7.8343999905225852</v>
      </c>
      <c r="M73" s="141" t="str">
        <f>'WACC BIPT &amp; Cullen 2013'!M73</f>
        <v>N/a</v>
      </c>
      <c r="N73" s="141" t="str">
        <f>'WACC BIPT &amp; Cullen 2013'!N73</f>
        <v>N/a</v>
      </c>
      <c r="O73" s="141" t="str">
        <f>'WACC BIPT &amp; Cullen 2013'!O73</f>
        <v>N/a</v>
      </c>
      <c r="P73" s="141" t="str">
        <f>'WACC BIPT &amp; Cullen 2013'!P73</f>
        <v>N/a</v>
      </c>
      <c r="Q73" s="153" t="str">
        <f>'WACC BIPT &amp; Cullen 2013'!Q73</f>
        <v>N/a</v>
      </c>
      <c r="R73" s="166"/>
      <c r="T73" s="885"/>
      <c r="U73" s="885"/>
      <c r="V73" s="885"/>
      <c r="W73" s="885"/>
      <c r="X73" s="885"/>
      <c r="Y73" s="885"/>
      <c r="Z73" s="885"/>
      <c r="AA73" s="885"/>
      <c r="AB73" s="885"/>
      <c r="AC73" s="885"/>
      <c r="AD73" s="885"/>
      <c r="AE73" s="885"/>
      <c r="AF73" s="885"/>
      <c r="AG73" s="769"/>
      <c r="AH73" s="753"/>
    </row>
    <row r="74" spans="2:37" ht="13.8">
      <c r="B74" s="166"/>
      <c r="C74" s="193" t="s">
        <v>141</v>
      </c>
      <c r="D74" s="691">
        <v>9</v>
      </c>
      <c r="E74" s="144">
        <f>'WACC BIPT &amp; Cullen 2013'!E74</f>
        <v>5.3663179523060318</v>
      </c>
      <c r="F74" s="141">
        <f>'WACC BIPT &amp; Cullen 2013'!F74</f>
        <v>6.3581090478474289</v>
      </c>
      <c r="G74" s="126">
        <f>'WACC BIPT &amp; Cullen 2013'!G74</f>
        <v>7.3499001433888251</v>
      </c>
      <c r="H74" s="141">
        <f>'WACC BIPT &amp; Cullen 2013'!H74</f>
        <v>7.8954654512444531</v>
      </c>
      <c r="I74" s="141">
        <f>'WACC BIPT &amp; Cullen 2013'!I74</f>
        <v>8.4410307591000819</v>
      </c>
      <c r="J74" s="126">
        <f>'WACC BIPT &amp; Cullen 2013'!J74</f>
        <v>8.9865960669557108</v>
      </c>
      <c r="K74" s="141">
        <f>'WACC BIPT &amp; Cullen 2013'!K74</f>
        <v>7.2663125595247084</v>
      </c>
      <c r="L74" s="695">
        <f>'WACC BIPT &amp; Cullen 2013'!L74</f>
        <v>9.1425189204588921</v>
      </c>
      <c r="M74" s="141" t="str">
        <f>'WACC BIPT &amp; Cullen 2013'!M74</f>
        <v>N/a</v>
      </c>
      <c r="N74" s="141" t="str">
        <f>'WACC BIPT &amp; Cullen 2013'!N74</f>
        <v>N/a</v>
      </c>
      <c r="O74" s="141" t="str">
        <f>'WACC BIPT &amp; Cullen 2013'!O74</f>
        <v>N/a</v>
      </c>
      <c r="P74" s="141" t="str">
        <f>'WACC BIPT &amp; Cullen 2013'!P74</f>
        <v>N/a</v>
      </c>
      <c r="Q74" s="153" t="str">
        <f>'WACC BIPT &amp; Cullen 2013'!Q74</f>
        <v>N/a</v>
      </c>
      <c r="R74" s="166"/>
      <c r="T74" s="885"/>
      <c r="U74" s="885"/>
      <c r="V74" s="885"/>
      <c r="W74" s="889"/>
      <c r="X74" s="885"/>
      <c r="Y74" s="885"/>
      <c r="Z74" s="885"/>
      <c r="AA74" s="885"/>
      <c r="AB74" s="885"/>
      <c r="AC74" s="885"/>
      <c r="AD74" s="885"/>
      <c r="AE74" s="885"/>
      <c r="AF74" s="885"/>
      <c r="AG74" s="769"/>
      <c r="AH74" s="753"/>
    </row>
    <row r="75" spans="2:37" ht="13.8">
      <c r="B75" s="166"/>
      <c r="C75" s="193" t="s">
        <v>150</v>
      </c>
      <c r="D75" s="691">
        <v>10</v>
      </c>
      <c r="E75" s="144">
        <f>'WACC BIPT &amp; Cullen 2013'!E75</f>
        <v>6.0593936210958423</v>
      </c>
      <c r="F75" s="141">
        <f>'WACC BIPT &amp; Cullen 2013'!F75</f>
        <v>7.2253827548537988</v>
      </c>
      <c r="G75" s="126">
        <f>'WACC BIPT &amp; Cullen 2013'!G75</f>
        <v>8.3913718886117561</v>
      </c>
      <c r="H75" s="141">
        <f>'WACC BIPT &amp; Cullen 2013'!H75</f>
        <v>9.0285621646202507</v>
      </c>
      <c r="I75" s="141">
        <f>'WACC BIPT &amp; Cullen 2013'!I75</f>
        <v>9.6657524406287472</v>
      </c>
      <c r="J75" s="126">
        <f>'WACC BIPT &amp; Cullen 2013'!J75</f>
        <v>10.302942716637242</v>
      </c>
      <c r="K75" s="141">
        <f>'WACC BIPT &amp; Cullen 2013'!K75</f>
        <v>10.37679028351622</v>
      </c>
      <c r="L75" s="695">
        <f>'WACC BIPT &amp; Cullen 2013'!L75</f>
        <v>10.450637850395198</v>
      </c>
      <c r="M75" s="141" t="str">
        <f>'WACC BIPT &amp; Cullen 2013'!M75</f>
        <v>N/a</v>
      </c>
      <c r="N75" s="141" t="str">
        <f>'WACC BIPT &amp; Cullen 2013'!N75</f>
        <v>N/a</v>
      </c>
      <c r="O75" s="141" t="str">
        <f>'WACC BIPT &amp; Cullen 2013'!O75</f>
        <v>N/a</v>
      </c>
      <c r="P75" s="141" t="str">
        <f>'WACC BIPT &amp; Cullen 2013'!P75</f>
        <v>N/a</v>
      </c>
      <c r="Q75" s="153" t="str">
        <f>'WACC BIPT &amp; Cullen 2013'!Q75</f>
        <v>N/a</v>
      </c>
      <c r="R75" s="166"/>
      <c r="T75" s="885"/>
      <c r="U75" s="885"/>
      <c r="V75" s="885"/>
      <c r="W75" s="889"/>
      <c r="X75" s="885"/>
      <c r="Y75" s="885"/>
      <c r="Z75" s="885"/>
      <c r="AA75" s="885"/>
      <c r="AB75" s="885"/>
      <c r="AC75" s="885"/>
      <c r="AD75" s="885"/>
      <c r="AE75" s="885"/>
      <c r="AF75" s="885"/>
      <c r="AG75" s="769"/>
      <c r="AH75" s="753"/>
    </row>
    <row r="76" spans="2:37" ht="13.8">
      <c r="B76" s="166"/>
      <c r="C76" s="194" t="s">
        <v>166</v>
      </c>
      <c r="D76" s="691">
        <v>11</v>
      </c>
      <c r="E76" s="145">
        <f>'WACC BIPT &amp; Cullen 2013'!E76</f>
        <v>6.7524692898856529</v>
      </c>
      <c r="F76" s="146">
        <f>'WACC BIPT &amp; Cullen 2013'!F76</f>
        <v>8.0926564618601695</v>
      </c>
      <c r="G76" s="127">
        <f>'WACC BIPT &amp; Cullen 2013'!G76</f>
        <v>9.4328436338346862</v>
      </c>
      <c r="H76" s="146">
        <f>'WACC BIPT &amp; Cullen 2013'!H76</f>
        <v>10.161658877996048</v>
      </c>
      <c r="I76" s="146">
        <f>'WACC BIPT &amp; Cullen 2013'!I76</f>
        <v>10.890474122157411</v>
      </c>
      <c r="J76" s="127">
        <f>'WACC BIPT &amp; Cullen 2013'!J76</f>
        <v>11.619289366318773</v>
      </c>
      <c r="K76" s="146">
        <f>'WACC BIPT &amp; Cullen 2013'!K76</f>
        <v>11.689023073325139</v>
      </c>
      <c r="L76" s="696">
        <f>'WACC BIPT &amp; Cullen 2013'!L76</f>
        <v>11.758756780331504</v>
      </c>
      <c r="M76" s="146" t="str">
        <f>'WACC BIPT &amp; Cullen 2013'!M76</f>
        <v>N/a</v>
      </c>
      <c r="N76" s="146" t="str">
        <f>'WACC BIPT &amp; Cullen 2013'!N76</f>
        <v>N/a</v>
      </c>
      <c r="O76" s="146" t="str">
        <f>'WACC BIPT &amp; Cullen 2013'!O76</f>
        <v>N/a</v>
      </c>
      <c r="P76" s="146" t="str">
        <f>'WACC BIPT &amp; Cullen 2013'!P76</f>
        <v>N/a</v>
      </c>
      <c r="Q76" s="154" t="str">
        <f>'WACC BIPT &amp; Cullen 2013'!Q76</f>
        <v>N/a</v>
      </c>
      <c r="R76" s="166"/>
      <c r="S76" s="112"/>
      <c r="T76" s="885"/>
      <c r="U76" s="885"/>
      <c r="V76" s="885"/>
      <c r="W76" s="889"/>
      <c r="X76" s="885"/>
      <c r="Y76" s="885"/>
      <c r="Z76" s="885"/>
      <c r="AA76" s="885"/>
      <c r="AB76" s="885"/>
      <c r="AC76" s="885"/>
      <c r="AD76" s="885"/>
      <c r="AE76" s="885"/>
      <c r="AF76" s="885"/>
      <c r="AG76" s="769"/>
      <c r="AH76" s="753"/>
      <c r="AI76" s="161"/>
      <c r="AJ76" s="161"/>
      <c r="AK76" s="161"/>
    </row>
    <row r="77" spans="2:37" ht="13.8">
      <c r="B77" s="214" t="s">
        <v>145</v>
      </c>
      <c r="C77" s="187"/>
      <c r="D77" s="697">
        <f>'WACC BIPT &amp; Cullen 2013'!D77</f>
        <v>0.15</v>
      </c>
      <c r="E77" s="698"/>
      <c r="F77" s="699"/>
      <c r="G77" s="699"/>
      <c r="H77" s="699"/>
      <c r="I77" s="699"/>
      <c r="J77" s="699"/>
      <c r="K77" s="699"/>
      <c r="L77" s="699"/>
      <c r="M77" s="699"/>
      <c r="N77" s="699"/>
      <c r="O77" s="699"/>
      <c r="P77" s="699"/>
      <c r="Q77" s="700"/>
      <c r="R77" s="166"/>
      <c r="S77" s="112"/>
      <c r="T77" s="885"/>
      <c r="U77" s="885"/>
      <c r="V77" s="885"/>
      <c r="W77" s="889"/>
      <c r="X77" s="885"/>
      <c r="Y77" s="885"/>
      <c r="Z77" s="885"/>
      <c r="AA77" s="885"/>
      <c r="AB77" s="885"/>
      <c r="AC77" s="885"/>
      <c r="AD77" s="885"/>
      <c r="AE77" s="885"/>
      <c r="AF77" s="885"/>
      <c r="AG77" s="769"/>
      <c r="AH77" s="753"/>
      <c r="AI77" s="161"/>
      <c r="AJ77" s="161"/>
      <c r="AK77" s="161"/>
    </row>
    <row r="78" spans="2:37" ht="14.4" thickBot="1">
      <c r="B78" s="214" t="s">
        <v>4</v>
      </c>
      <c r="C78" s="187"/>
      <c r="D78" s="701">
        <f>'WACC BIPT &amp; Cullen 2013'!D78</f>
        <v>2.7898562271062275</v>
      </c>
      <c r="E78" s="702"/>
      <c r="F78" s="703"/>
      <c r="G78" s="704"/>
      <c r="H78" s="703"/>
      <c r="I78" s="703"/>
      <c r="J78" s="704"/>
      <c r="K78" s="703"/>
      <c r="L78" s="156"/>
      <c r="M78" s="703"/>
      <c r="N78" s="703"/>
      <c r="O78" s="703"/>
      <c r="P78" s="703"/>
      <c r="Q78" s="705"/>
      <c r="R78" s="166"/>
      <c r="S78" s="112"/>
      <c r="T78" s="885"/>
      <c r="U78" s="885"/>
      <c r="V78" s="885"/>
      <c r="W78" s="889"/>
      <c r="X78" s="885"/>
      <c r="Y78" s="885"/>
      <c r="Z78" s="885"/>
      <c r="AA78" s="885"/>
      <c r="AB78" s="885"/>
      <c r="AC78" s="885"/>
      <c r="AD78" s="885"/>
      <c r="AE78" s="885"/>
      <c r="AF78" s="885"/>
      <c r="AG78" s="769"/>
      <c r="AH78" s="753"/>
      <c r="AI78" s="161"/>
      <c r="AJ78" s="161"/>
      <c r="AK78" s="161"/>
    </row>
    <row r="79" spans="2:37" ht="13.8">
      <c r="B79" s="215"/>
      <c r="C79" s="184"/>
      <c r="D79" s="185"/>
      <c r="E79" s="182"/>
      <c r="F79" s="182"/>
      <c r="G79" s="186"/>
      <c r="H79" s="182"/>
      <c r="I79" s="182"/>
      <c r="J79" s="186"/>
      <c r="K79" s="182"/>
      <c r="L79" s="182"/>
      <c r="M79" s="186"/>
      <c r="N79" s="182"/>
      <c r="O79" s="182"/>
      <c r="P79" s="186"/>
      <c r="Q79" s="182"/>
      <c r="R79" s="182"/>
      <c r="S79" s="112"/>
      <c r="T79" s="885"/>
      <c r="U79" s="885"/>
      <c r="V79" s="885"/>
      <c r="W79" s="889"/>
      <c r="X79" s="885"/>
      <c r="Y79" s="885"/>
      <c r="Z79" s="885"/>
      <c r="AA79" s="885"/>
      <c r="AB79" s="885"/>
      <c r="AC79" s="885"/>
      <c r="AD79" s="885"/>
      <c r="AE79" s="885"/>
      <c r="AF79" s="885"/>
      <c r="AG79" s="769"/>
      <c r="AH79" s="753"/>
      <c r="AI79" s="161"/>
      <c r="AJ79" s="161"/>
      <c r="AK79" s="161"/>
    </row>
    <row r="80" spans="2:37">
      <c r="B80" s="893"/>
      <c r="C80" s="893"/>
      <c r="D80" s="89"/>
      <c r="E80" s="90"/>
      <c r="F80" s="90"/>
      <c r="G80" s="161"/>
      <c r="H80" s="90"/>
      <c r="I80" s="90"/>
      <c r="J80" s="161"/>
      <c r="K80" s="90"/>
      <c r="L80" s="90"/>
      <c r="M80" s="161"/>
      <c r="N80" s="90"/>
      <c r="O80" s="90"/>
      <c r="P80" s="161"/>
      <c r="Q80" s="90"/>
      <c r="R80" s="90"/>
      <c r="S80" s="112"/>
      <c r="T80" s="123"/>
      <c r="AG80" s="90"/>
      <c r="AH80" s="161"/>
      <c r="AI80" s="161"/>
      <c r="AJ80" s="161"/>
      <c r="AK80" s="161"/>
    </row>
    <row r="81" spans="1:38" ht="13.8" thickBot="1">
      <c r="B81" s="235" t="s">
        <v>180</v>
      </c>
      <c r="C81" s="184"/>
      <c r="D81" s="183" t="s">
        <v>183</v>
      </c>
      <c r="E81" s="215" t="s">
        <v>135</v>
      </c>
      <c r="F81" s="236" t="s">
        <v>136</v>
      </c>
      <c r="G81" s="183" t="s">
        <v>137</v>
      </c>
      <c r="H81" s="215" t="s">
        <v>135</v>
      </c>
      <c r="I81" s="236" t="s">
        <v>136</v>
      </c>
      <c r="J81" s="183" t="s">
        <v>168</v>
      </c>
      <c r="K81" s="215" t="s">
        <v>135</v>
      </c>
      <c r="L81" s="236" t="s">
        <v>136</v>
      </c>
      <c r="M81" s="183" t="s">
        <v>2</v>
      </c>
      <c r="N81" s="215" t="s">
        <v>135</v>
      </c>
      <c r="O81" s="236" t="s">
        <v>136</v>
      </c>
      <c r="P81" s="183" t="s">
        <v>76</v>
      </c>
      <c r="Q81" s="215" t="s">
        <v>135</v>
      </c>
      <c r="R81" s="236" t="s">
        <v>136</v>
      </c>
    </row>
    <row r="82" spans="1:38">
      <c r="B82" s="216" t="s">
        <v>184</v>
      </c>
      <c r="C82" s="196" t="s">
        <v>185</v>
      </c>
      <c r="D82" s="180">
        <f>'WACC BIPT &amp; Cullen 2013'!D82</f>
        <v>0.4</v>
      </c>
      <c r="E82" s="871">
        <f>'WACC BIPT &amp; Cullen 2013'!E82</f>
        <v>0.2</v>
      </c>
      <c r="F82" s="872">
        <f>'WACC BIPT &amp; Cullen 2013'!F82</f>
        <v>0.5</v>
      </c>
      <c r="G82" s="181">
        <f>'WACC BIPT &amp; Cullen 2013'!G82</f>
        <v>0.44444444444444442</v>
      </c>
      <c r="H82" s="871">
        <f>'WACC BIPT &amp; Cullen 2013'!H82</f>
        <v>0.3888888888888889</v>
      </c>
      <c r="I82" s="872">
        <f>'WACC BIPT &amp; Cullen 2013'!I82</f>
        <v>0.5</v>
      </c>
      <c r="J82" s="677">
        <f>'WACC BIPT &amp; Cullen 2013'!J82</f>
        <v>0.4729330941660323</v>
      </c>
      <c r="K82" s="871">
        <f>'WACC BIPT &amp; Cullen 2013'!K82</f>
        <v>0.42293309416603231</v>
      </c>
      <c r="L82" s="871">
        <f>'WACC BIPT &amp; Cullen 2013'!L82</f>
        <v>0.52293309416603229</v>
      </c>
      <c r="M82" s="181">
        <f>'WACC BIPT &amp; Cullen 2013'!M82</f>
        <v>0.28041293785321875</v>
      </c>
      <c r="N82" s="871">
        <f>'WACC BIPT &amp; Cullen 2013'!N82</f>
        <v>0.2</v>
      </c>
      <c r="O82" s="872">
        <f>'WACC BIPT &amp; Cullen 2013'!O82</f>
        <v>0.4561905930983241</v>
      </c>
      <c r="P82" s="677">
        <f>'WACC BIPT &amp; Cullen 2013'!P82</f>
        <v>0.27500000000000002</v>
      </c>
      <c r="Q82" s="871">
        <f>'WACC BIPT &amp; Cullen 2013'!Q82</f>
        <v>0.25</v>
      </c>
      <c r="R82" s="877">
        <f>'WACC BIPT &amp; Cullen 2013'!R82</f>
        <v>0.3</v>
      </c>
    </row>
    <row r="83" spans="1:38">
      <c r="B83" s="217" t="s">
        <v>172</v>
      </c>
      <c r="C83" s="727" t="s">
        <v>185</v>
      </c>
      <c r="D83" s="730">
        <f>'WACC BIPT &amp; Cullen 2013'!D83</f>
        <v>0.374</v>
      </c>
      <c r="E83" s="873">
        <f>'WACC BIPT &amp; Cullen 2013'!E83</f>
        <v>0.17</v>
      </c>
      <c r="F83" s="874">
        <f>'WACC BIPT &amp; Cullen 2013'!F83</f>
        <v>0.47400000000000003</v>
      </c>
      <c r="G83" s="731">
        <f>'WACC BIPT &amp; Cullen 2013'!G83</f>
        <v>0.44444444444444442</v>
      </c>
      <c r="H83" s="873">
        <f>'WACC BIPT &amp; Cullen 2013'!H83</f>
        <v>0.3888888888888889</v>
      </c>
      <c r="I83" s="874">
        <f>'WACC BIPT &amp; Cullen 2013'!I83</f>
        <v>0.5</v>
      </c>
      <c r="J83" s="731">
        <f>'WACC BIPT &amp; Cullen 2013'!J83</f>
        <v>0.48681573444260695</v>
      </c>
      <c r="K83" s="873">
        <f>'WACC BIPT &amp; Cullen 2013'!K83</f>
        <v>0.43681573444260696</v>
      </c>
      <c r="L83" s="873">
        <f>'WACC BIPT &amp; Cullen 2013'!L83</f>
        <v>0.536815734442607</v>
      </c>
      <c r="M83" s="731">
        <f>'WACC BIPT &amp; Cullen 2013'!M83</f>
        <v>0.1914853784153166</v>
      </c>
      <c r="N83" s="873">
        <f>'WACC BIPT &amp; Cullen 2013'!N83</f>
        <v>0.1</v>
      </c>
      <c r="O83" s="874">
        <f>'WACC BIPT &amp; Cullen 2013'!O83</f>
        <v>0.33</v>
      </c>
      <c r="P83" s="731">
        <f>'WACC BIPT &amp; Cullen 2013'!P83</f>
        <v>0.18333333333333335</v>
      </c>
      <c r="Q83" s="873">
        <f>'WACC BIPT &amp; Cullen 2013'!Q83</f>
        <v>0.16666666666666666</v>
      </c>
      <c r="R83" s="878">
        <f>'WACC BIPT &amp; Cullen 2013'!R83</f>
        <v>0.2</v>
      </c>
    </row>
    <row r="84" spans="1:38">
      <c r="B84" s="216" t="s">
        <v>187</v>
      </c>
      <c r="C84" s="196" t="s">
        <v>185</v>
      </c>
      <c r="D84" s="726" t="str">
        <f>'WACC BIPT &amp; Cullen 2013'!D84</f>
        <v>A-</v>
      </c>
      <c r="E84" s="875" t="str">
        <f>'WACC BIPT &amp; Cullen 2013'!E84</f>
        <v>A</v>
      </c>
      <c r="F84" s="876" t="str">
        <f>'WACC BIPT &amp; Cullen 2013'!F84</f>
        <v>BBB+</v>
      </c>
      <c r="G84" s="168" t="str">
        <f>'WACC BIPT &amp; Cullen 2013'!G84</f>
        <v>B+</v>
      </c>
      <c r="H84" s="875" t="str">
        <f>'WACC BIPT &amp; Cullen 2013'!H84</f>
        <v>BB-</v>
      </c>
      <c r="I84" s="876" t="str">
        <f>'WACC BIPT &amp; Cullen 2013'!I84</f>
        <v>B+</v>
      </c>
      <c r="J84" s="725" t="str">
        <f>'WACC BIPT &amp; Cullen 2013'!J84</f>
        <v>BBB</v>
      </c>
      <c r="K84" s="875" t="str">
        <f>'WACC BIPT &amp; Cullen 2013'!K84</f>
        <v>BBB+</v>
      </c>
      <c r="L84" s="875" t="str">
        <f>'WACC BIPT &amp; Cullen 2013'!L84</f>
        <v>BBB-</v>
      </c>
      <c r="M84" s="168" t="str">
        <f>'WACC BIPT &amp; Cullen 2013'!M84</f>
        <v>BBB</v>
      </c>
      <c r="N84" s="875" t="str">
        <f>'WACC BIPT &amp; Cullen 2013'!N84</f>
        <v>BBB+</v>
      </c>
      <c r="O84" s="876" t="str">
        <f>'WACC BIPT &amp; Cullen 2013'!O84</f>
        <v>BBB-</v>
      </c>
      <c r="P84" s="725" t="str">
        <f>'WACC BIPT &amp; Cullen 2013'!P84</f>
        <v>BBB</v>
      </c>
      <c r="Q84" s="875" t="str">
        <f>'WACC BIPT &amp; Cullen 2013'!Q84</f>
        <v>BBB+</v>
      </c>
      <c r="R84" s="879" t="str">
        <f>'WACC BIPT &amp; Cullen 2013'!R84</f>
        <v>BBB-</v>
      </c>
    </row>
    <row r="85" spans="1:38">
      <c r="B85" s="217"/>
      <c r="C85" s="727" t="s">
        <v>185</v>
      </c>
      <c r="D85" s="728" t="str">
        <f>'WACC BIPT &amp; Cullen 2013'!D85</f>
        <v>A-</v>
      </c>
      <c r="E85" s="875" t="str">
        <f>'WACC BIPT &amp; Cullen 2013'!E85</f>
        <v>A</v>
      </c>
      <c r="F85" s="876" t="str">
        <f>'WACC BIPT &amp; Cullen 2013'!F85</f>
        <v>BBB+</v>
      </c>
      <c r="G85" s="729" t="str">
        <f>'WACC BIPT &amp; Cullen 2013'!G85</f>
        <v>B+</v>
      </c>
      <c r="H85" s="875" t="str">
        <f>'WACC BIPT &amp; Cullen 2013'!H85</f>
        <v>BB-</v>
      </c>
      <c r="I85" s="876" t="str">
        <f>'WACC BIPT &amp; Cullen 2013'!I85</f>
        <v>B+</v>
      </c>
      <c r="J85" s="729" t="str">
        <f>'WACC BIPT &amp; Cullen 2013'!J85</f>
        <v>BBB</v>
      </c>
      <c r="K85" s="875" t="str">
        <f>'WACC BIPT &amp; Cullen 2013'!K85</f>
        <v>BBB+</v>
      </c>
      <c r="L85" s="875" t="str">
        <f>'WACC BIPT &amp; Cullen 2013'!L85</f>
        <v>BBB-</v>
      </c>
      <c r="M85" s="729" t="str">
        <f>'WACC BIPT &amp; Cullen 2013'!M85</f>
        <v>BBB</v>
      </c>
      <c r="N85" s="875" t="str">
        <f>'WACC BIPT &amp; Cullen 2013'!N85</f>
        <v>BBB+</v>
      </c>
      <c r="O85" s="876" t="str">
        <f>'WACC BIPT &amp; Cullen 2013'!O85</f>
        <v>BBB-</v>
      </c>
      <c r="P85" s="729" t="str">
        <f>'WACC BIPT &amp; Cullen 2013'!P85</f>
        <v>BBB</v>
      </c>
      <c r="Q85" s="875" t="str">
        <f>'WACC BIPT &amp; Cullen 2013'!Q85</f>
        <v>BBB+</v>
      </c>
      <c r="R85" s="880" t="str">
        <f>'WACC BIPT &amp; Cullen 2013'!R85</f>
        <v>BBB-</v>
      </c>
    </row>
    <row r="86" spans="1:38" ht="13.8" thickBot="1">
      <c r="B86" s="218" t="s">
        <v>190</v>
      </c>
      <c r="C86" s="197"/>
      <c r="D86" s="713">
        <f>'WACC BIPT &amp; Cullen 2013'!D86</f>
        <v>0.55555555555555558</v>
      </c>
      <c r="E86" s="869">
        <f>'WACC BIPT &amp; Cullen 2013'!E86</f>
        <v>0.2857142857142857</v>
      </c>
      <c r="F86" s="870">
        <f>'WACC BIPT &amp; Cullen 2013'!F86</f>
        <v>0.66666666666666663</v>
      </c>
      <c r="G86" s="714">
        <f>'WACC BIPT &amp; Cullen 2013'!G86</f>
        <v>0.69618557805635917</v>
      </c>
      <c r="H86" s="869">
        <f>'WACC BIPT &amp; Cullen 2013'!H86</f>
        <v>0.33907333425173347</v>
      </c>
      <c r="I86" s="870">
        <f>'WACC BIPT &amp; Cullen 2013'!I86</f>
        <v>0.83831565413050457</v>
      </c>
      <c r="J86" s="715">
        <f>'WACC BIPT &amp; Cullen 2013'!J86</f>
        <v>0.81672559734276229</v>
      </c>
      <c r="K86" s="869">
        <f>'WACC BIPT &amp; Cullen 2013'!K86</f>
        <v>0.38480966156954588</v>
      </c>
      <c r="L86" s="869">
        <f>'WACC BIPT &amp; Cullen 2013'!L86</f>
        <v>0.98544335767093716</v>
      </c>
      <c r="M86" s="714">
        <f>'WACC BIPT &amp; Cullen 2013'!M86</f>
        <v>0.14705882352941177</v>
      </c>
      <c r="N86" s="869">
        <f>'WACC BIPT &amp; Cullen 2013'!N86</f>
        <v>0.13071895424836602</v>
      </c>
      <c r="O86" s="870">
        <f>'WACC BIPT &amp; Cullen 2013'!O86</f>
        <v>0.16806722689075629</v>
      </c>
      <c r="P86" s="715">
        <f>'WACC BIPT &amp; Cullen 2013'!P86</f>
        <v>0.14705882352941177</v>
      </c>
      <c r="Q86" s="869">
        <f>'WACC BIPT &amp; Cullen 2013'!Q86</f>
        <v>0.13071895424836602</v>
      </c>
      <c r="R86" s="881">
        <f>'WACC BIPT &amp; Cullen 2013'!R86</f>
        <v>0.16806722689075629</v>
      </c>
    </row>
    <row r="87" spans="1:38">
      <c r="B87" s="184"/>
      <c r="C87" s="184"/>
      <c r="D87" s="184"/>
      <c r="E87" s="167"/>
      <c r="F87" s="167"/>
      <c r="G87" s="184"/>
      <c r="H87" s="167"/>
      <c r="I87" s="167"/>
      <c r="J87" s="184"/>
      <c r="K87" s="167"/>
      <c r="L87" s="167"/>
      <c r="M87" s="184"/>
      <c r="N87" s="167"/>
      <c r="O87" s="167"/>
      <c r="P87" s="184"/>
      <c r="Q87" s="167"/>
      <c r="R87" s="167"/>
    </row>
    <row r="88" spans="1:38">
      <c r="B88" s="893"/>
      <c r="C88" s="893"/>
      <c r="D88" s="893"/>
    </row>
    <row r="89" spans="1:38" ht="13.8" thickBot="1">
      <c r="B89" s="235" t="s">
        <v>182</v>
      </c>
      <c r="C89" s="198"/>
      <c r="D89" s="183" t="s">
        <v>183</v>
      </c>
      <c r="E89" s="215" t="s">
        <v>135</v>
      </c>
      <c r="F89" s="236" t="s">
        <v>136</v>
      </c>
      <c r="G89" s="183" t="s">
        <v>137</v>
      </c>
      <c r="H89" s="215" t="s">
        <v>135</v>
      </c>
      <c r="I89" s="236" t="s">
        <v>136</v>
      </c>
      <c r="J89" s="183" t="s">
        <v>168</v>
      </c>
      <c r="K89" s="215" t="s">
        <v>135</v>
      </c>
      <c r="L89" s="236" t="s">
        <v>136</v>
      </c>
      <c r="M89" s="183" t="s">
        <v>2</v>
      </c>
      <c r="N89" s="215" t="s">
        <v>135</v>
      </c>
      <c r="O89" s="236" t="s">
        <v>136</v>
      </c>
      <c r="P89" s="183" t="s">
        <v>76</v>
      </c>
      <c r="Q89" s="215" t="s">
        <v>135</v>
      </c>
      <c r="R89" s="236" t="s">
        <v>136</v>
      </c>
    </row>
    <row r="90" spans="1:38">
      <c r="B90" s="216" t="s">
        <v>186</v>
      </c>
      <c r="C90" s="183" t="s">
        <v>185</v>
      </c>
      <c r="D90" s="174">
        <f>'WACC BIPT &amp; Cullen 2013'!D90</f>
        <v>0.5</v>
      </c>
      <c r="E90" s="175">
        <f>'WACC BIPT &amp; Cullen 2013'!E90</f>
        <v>0.47499999999999998</v>
      </c>
      <c r="F90" s="176">
        <f>'WACC BIPT &amp; Cullen 2013'!F90</f>
        <v>0.52500000000000002</v>
      </c>
      <c r="G90" s="177">
        <f>'WACC BIPT &amp; Cullen 2013'!G90</f>
        <v>0.6</v>
      </c>
      <c r="H90" s="175">
        <f>'WACC BIPT &amp; Cullen 2013'!H90</f>
        <v>0.57499999999999996</v>
      </c>
      <c r="I90" s="176">
        <f>'WACC BIPT &amp; Cullen 2013'!I90</f>
        <v>0.625</v>
      </c>
      <c r="J90" s="260">
        <f>'WACC BIPT &amp; Cullen 2013'!J90</f>
        <v>0.6</v>
      </c>
      <c r="K90" s="175">
        <f>'WACC BIPT &amp; Cullen 2013'!K90</f>
        <v>0.57499999999999996</v>
      </c>
      <c r="L90" s="176">
        <f>'WACC BIPT &amp; Cullen 2013'!L90</f>
        <v>0.625</v>
      </c>
      <c r="M90" s="177">
        <f>'WACC BIPT &amp; Cullen 2013'!M90</f>
        <v>0.6</v>
      </c>
      <c r="N90" s="175">
        <f>'WACC BIPT &amp; Cullen 2013'!N90</f>
        <v>0.57499999999999996</v>
      </c>
      <c r="O90" s="176">
        <f>'WACC BIPT &amp; Cullen 2013'!O90</f>
        <v>0.625</v>
      </c>
      <c r="P90" s="260">
        <f>'WACC BIPT &amp; Cullen 2013'!P90</f>
        <v>0.6</v>
      </c>
      <c r="Q90" s="175">
        <f>'WACC BIPT &amp; Cullen 2013'!Q90</f>
        <v>0.57499999999999996</v>
      </c>
      <c r="R90" s="882">
        <f>'WACC BIPT &amp; Cullen 2013'!R90</f>
        <v>0.625</v>
      </c>
    </row>
    <row r="91" spans="1:38">
      <c r="B91" s="219"/>
      <c r="C91" s="199" t="s">
        <v>185</v>
      </c>
      <c r="D91" s="1149">
        <f>'WACC BIPT &amp; Cullen 2013'!D91</f>
        <v>0.52500000000000002</v>
      </c>
      <c r="E91" s="1151">
        <f>'WACC BIPT &amp; Cullen 2013'!E91</f>
        <v>0.5</v>
      </c>
      <c r="F91" s="1152">
        <f>'WACC BIPT &amp; Cullen 2013'!F91</f>
        <v>0.55000000000000004</v>
      </c>
      <c r="G91" s="89">
        <f>'WACC BIPT &amp; Cullen 2013'!G91</f>
        <v>0.6</v>
      </c>
      <c r="H91" s="1151">
        <f>'WACC BIPT &amp; Cullen 2013'!H91</f>
        <v>0.57499999999999996</v>
      </c>
      <c r="I91" s="1152">
        <f>'WACC BIPT &amp; Cullen 2013'!I91</f>
        <v>0.625</v>
      </c>
      <c r="J91" s="89">
        <f>'WACC BIPT &amp; Cullen 2013'!J91</f>
        <v>0.6</v>
      </c>
      <c r="K91" s="1151">
        <f>'WACC BIPT &amp; Cullen 2013'!K91</f>
        <v>0.57499999999999996</v>
      </c>
      <c r="L91" s="1152">
        <f>'WACC BIPT &amp; Cullen 2013'!L91</f>
        <v>0.625</v>
      </c>
      <c r="M91" s="1150">
        <f>'WACC BIPT &amp; Cullen 2013'!M91</f>
        <v>0.625</v>
      </c>
      <c r="N91" s="1151">
        <f>'WACC BIPT &amp; Cullen 2013'!N91</f>
        <v>0.6</v>
      </c>
      <c r="O91" s="1152">
        <f>'WACC BIPT &amp; Cullen 2013'!O91</f>
        <v>0.65</v>
      </c>
      <c r="P91" s="1150">
        <f>'WACC BIPT &amp; Cullen 2013'!P91</f>
        <v>0.625</v>
      </c>
      <c r="Q91" s="1151">
        <f>'WACC BIPT &amp; Cullen 2013'!Q91</f>
        <v>0.6</v>
      </c>
      <c r="R91" s="1153">
        <f>'WACC BIPT &amp; Cullen 2013'!R91</f>
        <v>0.65</v>
      </c>
    </row>
    <row r="92" spans="1:38" ht="13.8" thickBot="1">
      <c r="B92" s="218" t="s">
        <v>179</v>
      </c>
      <c r="C92" s="200"/>
      <c r="D92" s="178">
        <f>'WACC BIPT &amp; Cullen 2013'!D92</f>
        <v>0.8</v>
      </c>
      <c r="E92" s="242">
        <f>'WACC BIPT &amp; Cullen 2013'!E92</f>
        <v>0.70000000000000007</v>
      </c>
      <c r="F92" s="243">
        <f>'WACC BIPT &amp; Cullen 2013'!F92</f>
        <v>0.9</v>
      </c>
      <c r="G92" s="179">
        <f>'WACC BIPT &amp; Cullen 2013'!G92</f>
        <v>0.8</v>
      </c>
      <c r="H92" s="242">
        <f>'WACC BIPT &amp; Cullen 2013'!H92</f>
        <v>0.70000000000000007</v>
      </c>
      <c r="I92" s="243">
        <f>'WACC BIPT &amp; Cullen 2013'!I92</f>
        <v>0.9</v>
      </c>
      <c r="J92" s="244">
        <f>'WACC BIPT &amp; Cullen 2013'!J92</f>
        <v>0.8</v>
      </c>
      <c r="K92" s="868">
        <f>'WACC BIPT &amp; Cullen 2013'!K92</f>
        <v>0.70000000000000007</v>
      </c>
      <c r="L92" s="868">
        <f>'WACC BIPT &amp; Cullen 2013'!L92</f>
        <v>0.9</v>
      </c>
      <c r="M92" s="179">
        <f>'WACC BIPT &amp; Cullen 2013'!M92</f>
        <v>0.8</v>
      </c>
      <c r="N92" s="242">
        <f>'WACC BIPT &amp; Cullen 2013'!N92</f>
        <v>0.70000000000000007</v>
      </c>
      <c r="O92" s="243">
        <f>'WACC BIPT &amp; Cullen 2013'!O92</f>
        <v>0.9</v>
      </c>
      <c r="P92" s="244">
        <f>'WACC BIPT &amp; Cullen 2013'!P92</f>
        <v>0.8</v>
      </c>
      <c r="Q92" s="883">
        <f>'WACC BIPT &amp; Cullen 2013'!Q92</f>
        <v>0.70000000000000007</v>
      </c>
      <c r="R92" s="884">
        <f>'WACC BIPT &amp; Cullen 2013'!R92</f>
        <v>0.9</v>
      </c>
    </row>
    <row r="93" spans="1:38">
      <c r="B93" s="198"/>
      <c r="C93" s="198"/>
      <c r="D93" s="195"/>
      <c r="E93" s="167"/>
      <c r="F93" s="167"/>
      <c r="G93" s="184"/>
      <c r="H93" s="167"/>
      <c r="I93" s="167"/>
      <c r="J93" s="184"/>
      <c r="K93" s="167"/>
      <c r="L93" s="167"/>
      <c r="M93" s="184"/>
      <c r="N93" s="167"/>
      <c r="O93" s="167"/>
      <c r="P93" s="184"/>
      <c r="Q93" s="167"/>
      <c r="R93" s="167"/>
    </row>
    <row r="94" spans="1:38" s="52" customFormat="1">
      <c r="A94" s="221"/>
      <c r="B94" s="168" t="s">
        <v>147</v>
      </c>
      <c r="C94" s="168" t="s">
        <v>185</v>
      </c>
      <c r="D94" s="233">
        <f>D90*(1+(1-D$7)*D$12)</f>
        <v>0.7200333333333333</v>
      </c>
      <c r="E94" s="163">
        <f t="shared" ref="E94:R95" si="33">E90*(1+(1-E$7)*E$12)</f>
        <v>0.55338687499999994</v>
      </c>
      <c r="F94" s="164">
        <f t="shared" si="33"/>
        <v>0.87155249999999995</v>
      </c>
      <c r="G94" s="233">
        <f t="shared" si="33"/>
        <v>0.85321868852459015</v>
      </c>
      <c r="H94" s="163">
        <f t="shared" si="33"/>
        <v>0.81653659090909081</v>
      </c>
      <c r="I94" s="164">
        <f t="shared" si="33"/>
        <v>1.0375624999999999</v>
      </c>
      <c r="J94" s="233">
        <f t="shared" si="33"/>
        <v>0.83260666666666661</v>
      </c>
      <c r="K94" s="163">
        <f t="shared" si="33"/>
        <v>0.85317819089266977</v>
      </c>
      <c r="L94" s="164">
        <f t="shared" si="33"/>
        <v>1.077227102789138</v>
      </c>
      <c r="M94" s="233">
        <f t="shared" si="33"/>
        <v>0.75433900080806593</v>
      </c>
      <c r="N94" s="163">
        <f t="shared" si="33"/>
        <v>0.6698893749999999</v>
      </c>
      <c r="O94" s="164">
        <f t="shared" si="33"/>
        <v>0.97109024628210672</v>
      </c>
      <c r="P94" s="233">
        <f t="shared" si="33"/>
        <v>0.7502296551724138</v>
      </c>
      <c r="Q94" s="163">
        <f t="shared" si="33"/>
        <v>0.70151916666666658</v>
      </c>
      <c r="R94" s="164">
        <f t="shared" si="33"/>
        <v>0.80181250000000004</v>
      </c>
      <c r="S94" s="500"/>
      <c r="T94" s="51"/>
      <c r="AH94" s="31"/>
      <c r="AI94" s="31"/>
      <c r="AJ94" s="31"/>
      <c r="AK94" s="31"/>
      <c r="AL94" s="365"/>
    </row>
    <row r="95" spans="1:38" s="52" customFormat="1" ht="13.2" customHeight="1">
      <c r="A95" s="221"/>
      <c r="B95" s="171"/>
      <c r="C95" s="173" t="s">
        <v>185</v>
      </c>
      <c r="D95" s="234">
        <f>D91*(1+(1-D$7)*D$12)</f>
        <v>0.75603500000000001</v>
      </c>
      <c r="E95" s="169">
        <f t="shared" si="33"/>
        <v>0.58251249999999999</v>
      </c>
      <c r="F95" s="170">
        <f t="shared" si="33"/>
        <v>0.91305500000000006</v>
      </c>
      <c r="G95" s="234">
        <f t="shared" si="33"/>
        <v>0.85321868852459015</v>
      </c>
      <c r="H95" s="169">
        <f t="shared" si="33"/>
        <v>0.81653659090909081</v>
      </c>
      <c r="I95" s="170">
        <f t="shared" si="33"/>
        <v>1.0375624999999999</v>
      </c>
      <c r="J95" s="234">
        <f t="shared" si="33"/>
        <v>0.83260666666666661</v>
      </c>
      <c r="K95" s="169">
        <f t="shared" si="33"/>
        <v>0.85317819089266977</v>
      </c>
      <c r="L95" s="170">
        <f t="shared" si="33"/>
        <v>1.077227102789138</v>
      </c>
      <c r="M95" s="234">
        <f t="shared" si="33"/>
        <v>0.78576979250840195</v>
      </c>
      <c r="N95" s="169">
        <f t="shared" si="33"/>
        <v>0.69901499999999994</v>
      </c>
      <c r="O95" s="170">
        <f t="shared" si="33"/>
        <v>1.009933856133391</v>
      </c>
      <c r="P95" s="234">
        <f t="shared" si="33"/>
        <v>0.78148922413793109</v>
      </c>
      <c r="Q95" s="169">
        <f t="shared" si="33"/>
        <v>0.73202</v>
      </c>
      <c r="R95" s="170">
        <f t="shared" si="33"/>
        <v>0.8338850000000001</v>
      </c>
      <c r="S95" s="500"/>
      <c r="T95" s="51"/>
      <c r="AH95" s="381"/>
      <c r="AI95" s="381"/>
      <c r="AJ95" s="381"/>
      <c r="AK95" s="381"/>
      <c r="AL95" s="365"/>
    </row>
    <row r="96" spans="1:38" ht="13.2" customHeight="1">
      <c r="B96" s="168" t="s">
        <v>438</v>
      </c>
      <c r="C96" s="168" t="s">
        <v>185</v>
      </c>
      <c r="D96" s="233">
        <f t="shared" ref="D96:R96" si="34">D94/(1+D12)</f>
        <v>0.43201999999999996</v>
      </c>
      <c r="E96" s="163">
        <f t="shared" si="34"/>
        <v>0.44270949999999998</v>
      </c>
      <c r="F96" s="164">
        <f t="shared" si="34"/>
        <v>0.43577624999999998</v>
      </c>
      <c r="G96" s="233">
        <f t="shared" si="34"/>
        <v>0.52046340000000002</v>
      </c>
      <c r="H96" s="163">
        <f t="shared" si="34"/>
        <v>0.4989945833333333</v>
      </c>
      <c r="I96" s="164">
        <f t="shared" si="34"/>
        <v>0.51878124999999997</v>
      </c>
      <c r="J96" s="233">
        <f t="shared" si="34"/>
        <v>0.52454219999999996</v>
      </c>
      <c r="K96" s="163">
        <f t="shared" si="34"/>
        <v>0.49234089874345516</v>
      </c>
      <c r="L96" s="164">
        <f t="shared" si="34"/>
        <v>0.51390940080810366</v>
      </c>
      <c r="M96" s="233">
        <f t="shared" si="34"/>
        <v>0.54281258545421462</v>
      </c>
      <c r="N96" s="163">
        <f t="shared" si="34"/>
        <v>0.53591149999999987</v>
      </c>
      <c r="O96" s="164">
        <f t="shared" si="34"/>
        <v>0.52808801087867485</v>
      </c>
      <c r="P96" s="233">
        <f t="shared" si="34"/>
        <v>0.54391649999999991</v>
      </c>
      <c r="Q96" s="163">
        <f t="shared" si="34"/>
        <v>0.52613937499999996</v>
      </c>
      <c r="R96" s="164">
        <f t="shared" si="34"/>
        <v>0.56126874999999998</v>
      </c>
      <c r="S96" s="501"/>
      <c r="AG96" s="379"/>
      <c r="AH96" s="379"/>
      <c r="AI96" s="379"/>
      <c r="AJ96" s="379"/>
      <c r="AK96" s="379"/>
    </row>
    <row r="97" spans="1:38">
      <c r="B97" s="171"/>
      <c r="C97" s="173" t="s">
        <v>185</v>
      </c>
      <c r="D97" s="234">
        <f t="shared" ref="D97:R97" si="35">D95/(1+D12)</f>
        <v>0.453621</v>
      </c>
      <c r="E97" s="169">
        <f t="shared" si="35"/>
        <v>0.46600999999999998</v>
      </c>
      <c r="F97" s="170">
        <f t="shared" si="35"/>
        <v>0.45652750000000003</v>
      </c>
      <c r="G97" s="234">
        <f t="shared" si="35"/>
        <v>0.52046340000000002</v>
      </c>
      <c r="H97" s="169">
        <f t="shared" si="35"/>
        <v>0.4989945833333333</v>
      </c>
      <c r="I97" s="170">
        <f t="shared" si="35"/>
        <v>0.51878124999999997</v>
      </c>
      <c r="J97" s="234">
        <f t="shared" si="35"/>
        <v>0.52454219999999996</v>
      </c>
      <c r="K97" s="169">
        <f t="shared" si="35"/>
        <v>0.49234089874345516</v>
      </c>
      <c r="L97" s="170">
        <f t="shared" si="35"/>
        <v>0.51390940080810366</v>
      </c>
      <c r="M97" s="234">
        <f t="shared" si="35"/>
        <v>0.56542977651480686</v>
      </c>
      <c r="N97" s="169">
        <f t="shared" si="35"/>
        <v>0.55921199999999993</v>
      </c>
      <c r="O97" s="170">
        <f t="shared" si="35"/>
        <v>0.54921153131382183</v>
      </c>
      <c r="P97" s="234">
        <f t="shared" si="35"/>
        <v>0.56657968749999998</v>
      </c>
      <c r="Q97" s="169">
        <f t="shared" si="35"/>
        <v>0.54901500000000003</v>
      </c>
      <c r="R97" s="170">
        <f t="shared" si="35"/>
        <v>0.58371950000000006</v>
      </c>
      <c r="S97" s="501"/>
      <c r="AG97" s="379"/>
      <c r="AH97" s="379"/>
      <c r="AI97" s="379"/>
      <c r="AJ97" s="379"/>
      <c r="AK97" s="379"/>
    </row>
    <row r="98" spans="1:38">
      <c r="D98" s="48"/>
      <c r="E98" s="48"/>
      <c r="F98" s="48"/>
      <c r="J98" s="48"/>
      <c r="R98" s="524" t="s">
        <v>437</v>
      </c>
    </row>
    <row r="99" spans="1:38">
      <c r="B99" s="797" t="s">
        <v>430</v>
      </c>
      <c r="C99" s="798"/>
      <c r="D99" s="820" t="s">
        <v>151</v>
      </c>
      <c r="E99" s="679" t="s">
        <v>152</v>
      </c>
      <c r="F99" s="680" t="s">
        <v>153</v>
      </c>
      <c r="G99" s="681" t="s">
        <v>154</v>
      </c>
      <c r="H99" s="680" t="s">
        <v>155</v>
      </c>
      <c r="I99" s="680" t="s">
        <v>156</v>
      </c>
      <c r="J99" s="681" t="s">
        <v>157</v>
      </c>
      <c r="K99" s="680" t="s">
        <v>158</v>
      </c>
      <c r="L99" s="655" t="s">
        <v>159</v>
      </c>
      <c r="M99" s="680" t="s">
        <v>160</v>
      </c>
      <c r="N99" s="680" t="s">
        <v>161</v>
      </c>
      <c r="O99" s="680" t="s">
        <v>162</v>
      </c>
      <c r="P99" s="680" t="s">
        <v>163</v>
      </c>
      <c r="Q99" s="810" t="s">
        <v>164</v>
      </c>
    </row>
    <row r="100" spans="1:38">
      <c r="B100" s="48"/>
      <c r="C100" s="814" t="s">
        <v>139</v>
      </c>
      <c r="D100" s="811">
        <v>1</v>
      </c>
      <c r="E100" s="844">
        <f t="shared" ref="E100:Q100" si="36">E114/E$113/2*(1+E66/100)^E$113</f>
        <v>4.5492018210875596E-4</v>
      </c>
      <c r="F100" s="845">
        <f t="shared" si="36"/>
        <v>5.4161406125042286E-4</v>
      </c>
      <c r="G100" s="846">
        <f t="shared" si="36"/>
        <v>6.1408214538861668E-4</v>
      </c>
      <c r="H100" s="845">
        <f t="shared" si="36"/>
        <v>7.238631924535462E-4</v>
      </c>
      <c r="I100" s="845">
        <f t="shared" si="36"/>
        <v>8.7781015325403167E-4</v>
      </c>
      <c r="J100" s="846">
        <f t="shared" si="36"/>
        <v>1.0445306432282885E-3</v>
      </c>
      <c r="K100" s="845">
        <f t="shared" si="36"/>
        <v>1.1790148265631189E-3</v>
      </c>
      <c r="L100" s="847">
        <f t="shared" si="36"/>
        <v>1.2899819238847323E-3</v>
      </c>
      <c r="M100" s="845">
        <f t="shared" si="36"/>
        <v>1.3728771702508581E-3</v>
      </c>
      <c r="N100" s="845">
        <f t="shared" si="36"/>
        <v>1.422804224432388E-3</v>
      </c>
      <c r="O100" s="845">
        <f t="shared" si="36"/>
        <v>1.5033501046686378E-3</v>
      </c>
      <c r="P100" s="845">
        <f t="shared" si="36"/>
        <v>1.6252308574524325E-3</v>
      </c>
      <c r="Q100" s="861">
        <f t="shared" si="36"/>
        <v>1.7931845359714386E-3</v>
      </c>
    </row>
    <row r="101" spans="1:38">
      <c r="B101" s="48"/>
      <c r="C101" s="812" t="s">
        <v>143</v>
      </c>
      <c r="D101" s="811">
        <v>2</v>
      </c>
      <c r="E101" s="848">
        <f t="shared" ref="E101:Q101" si="37">E115/E$113/2*(1+E67/100)^E$113</f>
        <v>5.1180092573190419E-4</v>
      </c>
      <c r="F101" s="849">
        <f t="shared" si="37"/>
        <v>5.8448165790977373E-4</v>
      </c>
      <c r="G101" s="849">
        <f t="shared" si="37"/>
        <v>7.2320744102516194E-4</v>
      </c>
      <c r="H101" s="849">
        <f t="shared" si="37"/>
        <v>8.2972450225676244E-4</v>
      </c>
      <c r="I101" s="849">
        <f t="shared" si="37"/>
        <v>9.376333943659378E-4</v>
      </c>
      <c r="J101" s="849">
        <f t="shared" si="37"/>
        <v>1.0738023495036255E-3</v>
      </c>
      <c r="K101" s="849">
        <f t="shared" si="37"/>
        <v>1.1867028555202267E-3</v>
      </c>
      <c r="L101" s="850">
        <f t="shared" si="37"/>
        <v>1.2439973804007427E-3</v>
      </c>
      <c r="M101" s="849">
        <f t="shared" si="37"/>
        <v>1.3059562221831703E-3</v>
      </c>
      <c r="N101" s="849">
        <f t="shared" si="37"/>
        <v>1.4030091263763395E-3</v>
      </c>
      <c r="O101" s="849">
        <f t="shared" si="37"/>
        <v>1.5141363194727316E-3</v>
      </c>
      <c r="P101" s="849">
        <f t="shared" si="37"/>
        <v>1.6543851882133778E-3</v>
      </c>
      <c r="Q101" s="862">
        <f t="shared" si="37"/>
        <v>1.8768465162439319E-3</v>
      </c>
    </row>
    <row r="102" spans="1:38">
      <c r="B102" s="48"/>
      <c r="C102" s="812" t="s">
        <v>142</v>
      </c>
      <c r="D102" s="811">
        <v>3</v>
      </c>
      <c r="E102" s="851">
        <f t="shared" ref="E102:Q102" si="38">E116/E$113/2*(1+E68/100)^E$113</f>
        <v>6.7791612889613355E-4</v>
      </c>
      <c r="F102" s="849">
        <f t="shared" si="38"/>
        <v>7.5464247526250733E-4</v>
      </c>
      <c r="G102" s="852">
        <f t="shared" si="38"/>
        <v>8.5959971302027082E-4</v>
      </c>
      <c r="H102" s="849">
        <f t="shared" si="38"/>
        <v>9.4693513556761018E-4</v>
      </c>
      <c r="I102" s="849">
        <f t="shared" si="38"/>
        <v>1.0187079316837915E-3</v>
      </c>
      <c r="J102" s="852">
        <f t="shared" si="38"/>
        <v>1.0467581078829893E-3</v>
      </c>
      <c r="K102" s="849">
        <f t="shared" si="38"/>
        <v>1.0672996444817057E-3</v>
      </c>
      <c r="L102" s="853">
        <f t="shared" si="38"/>
        <v>1.130928362305605E-3</v>
      </c>
      <c r="M102" s="849">
        <f t="shared" si="38"/>
        <v>1.2414265608359746E-3</v>
      </c>
      <c r="N102" s="849">
        <f t="shared" si="38"/>
        <v>1.4257197721228793E-3</v>
      </c>
      <c r="O102" s="849">
        <f t="shared" si="38"/>
        <v>1.6490746619026587E-3</v>
      </c>
      <c r="P102" s="849">
        <f t="shared" si="38"/>
        <v>1.8779575986040071E-3</v>
      </c>
      <c r="Q102" s="863">
        <f t="shared" si="38"/>
        <v>2.1829943711964132E-3</v>
      </c>
    </row>
    <row r="103" spans="1:38">
      <c r="B103" s="48"/>
      <c r="C103" s="812" t="s">
        <v>140</v>
      </c>
      <c r="D103" s="811">
        <v>4</v>
      </c>
      <c r="E103" s="851">
        <f t="shared" ref="E103:L110" si="39">E117/E$113/2*(1+E69/100)^E$113</f>
        <v>9.5793175646526237E-4</v>
      </c>
      <c r="F103" s="849">
        <f t="shared" si="39"/>
        <v>1.2335551203949096E-3</v>
      </c>
      <c r="G103" s="852">
        <f t="shared" si="39"/>
        <v>1.4019107884538668E-3</v>
      </c>
      <c r="H103" s="849">
        <f t="shared" si="39"/>
        <v>1.5856543109114222E-3</v>
      </c>
      <c r="I103" s="849">
        <f t="shared" si="39"/>
        <v>1.7146936162305915E-3</v>
      </c>
      <c r="J103" s="852">
        <f t="shared" si="39"/>
        <v>1.8246760752202941E-3</v>
      </c>
      <c r="K103" s="849">
        <f t="shared" si="39"/>
        <v>1.9892018555597714E-3</v>
      </c>
      <c r="L103" s="853">
        <f t="shared" si="39"/>
        <v>2.2211341555311761E-3</v>
      </c>
      <c r="M103" s="141" t="s">
        <v>165</v>
      </c>
      <c r="N103" s="141" t="s">
        <v>165</v>
      </c>
      <c r="O103" s="141" t="s">
        <v>165</v>
      </c>
      <c r="P103" s="141" t="s">
        <v>165</v>
      </c>
      <c r="Q103" s="808" t="s">
        <v>165</v>
      </c>
    </row>
    <row r="104" spans="1:38">
      <c r="B104" s="48"/>
      <c r="C104" s="812" t="s">
        <v>171</v>
      </c>
      <c r="D104" s="811">
        <v>5</v>
      </c>
      <c r="E104" s="851">
        <f t="shared" si="39"/>
        <v>1.5313670832931532E-3</v>
      </c>
      <c r="F104" s="849">
        <f t="shared" si="39"/>
        <v>1.7281049079051016E-3</v>
      </c>
      <c r="G104" s="852">
        <f t="shared" si="39"/>
        <v>2.0565280185123806E-3</v>
      </c>
      <c r="H104" s="849">
        <f t="shared" si="39"/>
        <v>2.3182153175127177E-3</v>
      </c>
      <c r="I104" s="849">
        <f t="shared" si="39"/>
        <v>2.5658696095001055E-3</v>
      </c>
      <c r="J104" s="852">
        <f t="shared" si="39"/>
        <v>2.9157446930635563E-3</v>
      </c>
      <c r="K104" s="849">
        <f t="shared" si="39"/>
        <v>3.1812448725767042E-3</v>
      </c>
      <c r="L104" s="853">
        <f t="shared" si="39"/>
        <v>3.4597270948533063E-3</v>
      </c>
      <c r="M104" s="141" t="s">
        <v>165</v>
      </c>
      <c r="N104" s="141" t="s">
        <v>165</v>
      </c>
      <c r="O104" s="141" t="s">
        <v>165</v>
      </c>
      <c r="P104" s="141" t="s">
        <v>165</v>
      </c>
      <c r="Q104" s="808" t="s">
        <v>165</v>
      </c>
    </row>
    <row r="105" spans="1:38">
      <c r="B105" s="48"/>
      <c r="C105" s="812" t="s">
        <v>148</v>
      </c>
      <c r="D105" s="811">
        <v>6</v>
      </c>
      <c r="E105" s="848">
        <f t="shared" si="39"/>
        <v>4.0024066842001427E-3</v>
      </c>
      <c r="F105" s="849">
        <f t="shared" si="39"/>
        <v>4.8388593722871178E-3</v>
      </c>
      <c r="G105" s="849">
        <f t="shared" si="39"/>
        <v>5.4812632502066619E-3</v>
      </c>
      <c r="H105" s="849">
        <f t="shared" si="39"/>
        <v>6.1492770693478537E-3</v>
      </c>
      <c r="I105" s="849">
        <f t="shared" si="39"/>
        <v>6.5759973911184207E-3</v>
      </c>
      <c r="J105" s="849">
        <f t="shared" si="39"/>
        <v>6.8465900340614044E-3</v>
      </c>
      <c r="K105" s="849">
        <f t="shared" si="39"/>
        <v>7.0807384528542225E-3</v>
      </c>
      <c r="L105" s="850">
        <f t="shared" si="39"/>
        <v>7.4450609405453195E-3</v>
      </c>
      <c r="M105" s="141" t="s">
        <v>165</v>
      </c>
      <c r="N105" s="141" t="s">
        <v>165</v>
      </c>
      <c r="O105" s="141" t="s">
        <v>165</v>
      </c>
      <c r="P105" s="141" t="s">
        <v>165</v>
      </c>
      <c r="Q105" s="808" t="s">
        <v>165</v>
      </c>
    </row>
    <row r="106" spans="1:38">
      <c r="B106" s="48"/>
      <c r="C106" s="812" t="s">
        <v>429</v>
      </c>
      <c r="D106" s="811">
        <v>7</v>
      </c>
      <c r="E106" s="851">
        <f t="shared" si="39"/>
        <v>4.4881984258743641E-3</v>
      </c>
      <c r="F106" s="849">
        <f t="shared" si="39"/>
        <v>5.361980093444566E-3</v>
      </c>
      <c r="G106" s="852">
        <f t="shared" si="39"/>
        <v>6.0055181016148733E-3</v>
      </c>
      <c r="H106" s="849">
        <f t="shared" si="39"/>
        <v>6.3515962156521126E-3</v>
      </c>
      <c r="I106" s="849">
        <f t="shared" si="39"/>
        <v>6.8020477627844115E-3</v>
      </c>
      <c r="J106" s="852">
        <f t="shared" si="39"/>
        <v>7.4673649422180239E-3</v>
      </c>
      <c r="K106" s="849">
        <f t="shared" si="39"/>
        <v>7.9892186622670981E-3</v>
      </c>
      <c r="L106" s="853">
        <f t="shared" si="39"/>
        <v>8.4971230347016709E-3</v>
      </c>
      <c r="M106" s="141" t="s">
        <v>165</v>
      </c>
      <c r="N106" s="141" t="s">
        <v>165</v>
      </c>
      <c r="O106" s="141" t="s">
        <v>165</v>
      </c>
      <c r="P106" s="141" t="s">
        <v>165</v>
      </c>
      <c r="Q106" s="808" t="s">
        <v>165</v>
      </c>
    </row>
    <row r="107" spans="1:38">
      <c r="B107" s="48"/>
      <c r="C107" s="812" t="s">
        <v>149</v>
      </c>
      <c r="D107" s="811">
        <v>8</v>
      </c>
      <c r="E107" s="854">
        <f t="shared" si="39"/>
        <v>1.0329687735023253E-2</v>
      </c>
      <c r="F107" s="849">
        <f t="shared" si="39"/>
        <v>1.2172796239418401E-2</v>
      </c>
      <c r="G107" s="855">
        <f t="shared" si="39"/>
        <v>1.3331505936951579E-2</v>
      </c>
      <c r="H107" s="849">
        <f t="shared" si="39"/>
        <v>1.435529828109963E-2</v>
      </c>
      <c r="I107" s="849">
        <f t="shared" si="39"/>
        <v>1.5466061778854409E-2</v>
      </c>
      <c r="J107" s="855">
        <f t="shared" si="39"/>
        <v>1.6923639130248178E-2</v>
      </c>
      <c r="K107" s="849">
        <f t="shared" si="39"/>
        <v>1.6927825939423147E-2</v>
      </c>
      <c r="L107" s="856">
        <f t="shared" si="39"/>
        <v>1.9401047194048351E-2</v>
      </c>
      <c r="M107" s="141" t="s">
        <v>165</v>
      </c>
      <c r="N107" s="141" t="s">
        <v>165</v>
      </c>
      <c r="O107" s="141" t="s">
        <v>165</v>
      </c>
      <c r="P107" s="141" t="s">
        <v>165</v>
      </c>
      <c r="Q107" s="808" t="s">
        <v>165</v>
      </c>
    </row>
    <row r="108" spans="1:38">
      <c r="B108" s="48"/>
      <c r="C108" s="812" t="s">
        <v>141</v>
      </c>
      <c r="D108" s="811">
        <v>9</v>
      </c>
      <c r="E108" s="854">
        <f t="shared" si="39"/>
        <v>1.3082856258473599E-2</v>
      </c>
      <c r="F108" s="849">
        <f t="shared" si="39"/>
        <v>1.4661613659679482E-2</v>
      </c>
      <c r="G108" s="855">
        <f t="shared" si="39"/>
        <v>1.6663672465174219E-2</v>
      </c>
      <c r="H108" s="849">
        <f t="shared" si="39"/>
        <v>1.8636355175215478E-2</v>
      </c>
      <c r="I108" s="849">
        <f t="shared" si="39"/>
        <v>2.1173872999780196E-2</v>
      </c>
      <c r="J108" s="855">
        <f t="shared" si="39"/>
        <v>2.3640901872180382E-2</v>
      </c>
      <c r="K108" s="849">
        <f t="shared" si="39"/>
        <v>2.1848099418926011E-2</v>
      </c>
      <c r="L108" s="856">
        <f t="shared" si="39"/>
        <v>2.7299007730087019E-2</v>
      </c>
      <c r="M108" s="141" t="s">
        <v>165</v>
      </c>
      <c r="N108" s="141" t="s">
        <v>165</v>
      </c>
      <c r="O108" s="141" t="s">
        <v>165</v>
      </c>
      <c r="P108" s="141" t="s">
        <v>165</v>
      </c>
      <c r="Q108" s="808" t="s">
        <v>165</v>
      </c>
    </row>
    <row r="109" spans="1:38">
      <c r="B109" s="48"/>
      <c r="C109" s="812" t="s">
        <v>150</v>
      </c>
      <c r="D109" s="811">
        <v>10</v>
      </c>
      <c r="E109" s="854">
        <f t="shared" si="39"/>
        <v>1.7595839622799959E-2</v>
      </c>
      <c r="F109" s="849">
        <f t="shared" si="39"/>
        <v>1.9663552996937672E-2</v>
      </c>
      <c r="G109" s="855">
        <f t="shared" si="39"/>
        <v>2.1725814769883334E-2</v>
      </c>
      <c r="H109" s="849">
        <f t="shared" si="39"/>
        <v>2.375318389092854E-2</v>
      </c>
      <c r="I109" s="849">
        <f t="shared" si="39"/>
        <v>2.6113728397402163E-2</v>
      </c>
      <c r="J109" s="855">
        <f t="shared" si="39"/>
        <v>2.8855798685042917E-2</v>
      </c>
      <c r="K109" s="849">
        <f t="shared" si="39"/>
        <v>3.1073968220015801E-2</v>
      </c>
      <c r="L109" s="856">
        <f t="shared" si="39"/>
        <v>3.3205994871160882E-2</v>
      </c>
      <c r="M109" s="141" t="s">
        <v>165</v>
      </c>
      <c r="N109" s="141" t="s">
        <v>165</v>
      </c>
      <c r="O109" s="141" t="s">
        <v>165</v>
      </c>
      <c r="P109" s="141" t="s">
        <v>165</v>
      </c>
      <c r="Q109" s="808" t="s">
        <v>165</v>
      </c>
    </row>
    <row r="110" spans="1:38">
      <c r="B110" s="818"/>
      <c r="C110" s="813" t="s">
        <v>166</v>
      </c>
      <c r="D110" s="821">
        <v>11</v>
      </c>
      <c r="E110" s="857">
        <f t="shared" si="39"/>
        <v>2.5808119022210061E-2</v>
      </c>
      <c r="F110" s="858">
        <f t="shared" si="39"/>
        <v>2.7986540276747761E-2</v>
      </c>
      <c r="G110" s="859">
        <f t="shared" si="39"/>
        <v>3.081739108963891E-2</v>
      </c>
      <c r="H110" s="858">
        <f t="shared" si="39"/>
        <v>3.3708234366607776E-2</v>
      </c>
      <c r="I110" s="858">
        <f t="shared" si="39"/>
        <v>3.6918235670558561E-2</v>
      </c>
      <c r="J110" s="859">
        <f t="shared" si="39"/>
        <v>4.0953656933842293E-2</v>
      </c>
      <c r="K110" s="858">
        <f t="shared" si="39"/>
        <v>4.3123090187404567E-2</v>
      </c>
      <c r="L110" s="860">
        <f t="shared" si="39"/>
        <v>4.5720665412897474E-2</v>
      </c>
      <c r="M110" s="146" t="s">
        <v>165</v>
      </c>
      <c r="N110" s="146" t="s">
        <v>165</v>
      </c>
      <c r="O110" s="146" t="s">
        <v>165</v>
      </c>
      <c r="P110" s="146" t="s">
        <v>165</v>
      </c>
      <c r="Q110" s="809" t="s">
        <v>165</v>
      </c>
    </row>
    <row r="111" spans="1:38">
      <c r="B111" s="841" t="s">
        <v>432</v>
      </c>
      <c r="C111" s="842" t="s">
        <v>429</v>
      </c>
      <c r="D111" s="843"/>
      <c r="E111" s="839">
        <f t="shared" ref="E111:L111" si="40">E72-E57</f>
        <v>2.9137000000000031</v>
      </c>
      <c r="F111" s="840">
        <f t="shared" si="40"/>
        <v>3.3541958598726125</v>
      </c>
      <c r="G111" s="840">
        <f t="shared" si="40"/>
        <v>3.794691719745221</v>
      </c>
      <c r="H111" s="840">
        <f t="shared" si="40"/>
        <v>3.9696668789808904</v>
      </c>
      <c r="I111" s="840">
        <f t="shared" si="40"/>
        <v>4.1446420382165599</v>
      </c>
      <c r="J111" s="840">
        <f t="shared" si="40"/>
        <v>4.3196171974522297</v>
      </c>
      <c r="K111" s="840">
        <f t="shared" si="40"/>
        <v>4.2168012738853502</v>
      </c>
      <c r="L111" s="836">
        <f t="shared" si="40"/>
        <v>4.1139853503184707</v>
      </c>
      <c r="M111" s="837" t="s">
        <v>165</v>
      </c>
      <c r="N111" s="837" t="s">
        <v>165</v>
      </c>
      <c r="O111" s="837" t="s">
        <v>165</v>
      </c>
      <c r="P111" s="837" t="s">
        <v>165</v>
      </c>
      <c r="Q111" s="838" t="s">
        <v>165</v>
      </c>
    </row>
    <row r="112" spans="1:38" s="52" customFormat="1">
      <c r="A112" s="221"/>
      <c r="B112" s="235" t="s">
        <v>440</v>
      </c>
      <c r="C112" s="198"/>
      <c r="D112" s="195"/>
      <c r="E112" s="167"/>
      <c r="F112" s="167"/>
      <c r="G112" s="184"/>
      <c r="H112" s="167"/>
      <c r="I112" s="167"/>
      <c r="J112" s="166"/>
      <c r="K112" s="167"/>
      <c r="L112" s="167"/>
      <c r="M112" s="184"/>
      <c r="N112" s="167"/>
      <c r="O112" s="167"/>
      <c r="P112" s="184"/>
      <c r="Q112" s="167"/>
      <c r="R112" s="167"/>
      <c r="S112" s="111"/>
      <c r="T112" s="51"/>
      <c r="U112" s="51"/>
      <c r="V112" s="51"/>
      <c r="W112" s="35"/>
      <c r="X112" s="35"/>
      <c r="Y112" s="51"/>
      <c r="Z112" s="51"/>
      <c r="AA112" s="51"/>
      <c r="AB112" s="51"/>
      <c r="AC112" s="51"/>
      <c r="AD112" s="51"/>
      <c r="AE112" s="51"/>
      <c r="AF112" s="51"/>
      <c r="AG112" s="67"/>
      <c r="AH112" s="893"/>
      <c r="AI112" s="893"/>
      <c r="AJ112" s="893"/>
      <c r="AK112" s="893"/>
      <c r="AL112" s="365"/>
    </row>
    <row r="113" spans="1:18" ht="13.8" thickBot="1">
      <c r="B113" s="791" t="s">
        <v>436</v>
      </c>
      <c r="C113" s="792"/>
      <c r="D113" s="166"/>
      <c r="E113" s="801">
        <v>3</v>
      </c>
      <c r="F113" s="802">
        <v>4</v>
      </c>
      <c r="G113" s="802">
        <v>5</v>
      </c>
      <c r="H113" s="802">
        <v>6</v>
      </c>
      <c r="I113" s="802">
        <v>7</v>
      </c>
      <c r="J113" s="802">
        <v>8</v>
      </c>
      <c r="K113" s="802">
        <v>9</v>
      </c>
      <c r="L113" s="793">
        <v>10</v>
      </c>
      <c r="M113" s="802">
        <v>11</v>
      </c>
      <c r="N113" s="802">
        <v>12</v>
      </c>
      <c r="O113" s="802">
        <v>13</v>
      </c>
      <c r="P113" s="802">
        <v>14</v>
      </c>
      <c r="Q113" s="807">
        <v>15</v>
      </c>
      <c r="R113" s="832" t="s">
        <v>434</v>
      </c>
    </row>
    <row r="114" spans="1:18">
      <c r="B114" s="166"/>
      <c r="C114" s="815" t="s">
        <v>139</v>
      </c>
      <c r="D114" s="166"/>
      <c r="E114" s="803">
        <f>'WACC BIPT &amp; Cullen 2013'!E114</f>
        <v>2.5619999999999996E-3</v>
      </c>
      <c r="F114" s="799">
        <f>'WACC BIPT &amp; Cullen 2013'!F114</f>
        <v>3.9420000000000002E-3</v>
      </c>
      <c r="G114" s="799">
        <f>'WACC BIPT &amp; Cullen 2013'!G114</f>
        <v>5.3879999999999996E-3</v>
      </c>
      <c r="H114" s="799">
        <f>'WACC BIPT &amp; Cullen 2013'!H114</f>
        <v>7.3199999999999993E-3</v>
      </c>
      <c r="I114" s="799">
        <f>'WACC BIPT &amp; Cullen 2013'!I114</f>
        <v>9.9000000000000008E-3</v>
      </c>
      <c r="J114" s="799">
        <f>'WACC BIPT &amp; Cullen 2013'!J114</f>
        <v>1.2809999999999998E-2</v>
      </c>
      <c r="K114" s="799">
        <f>'WACC BIPT &amp; Cullen 2013'!K114</f>
        <v>1.5521999999999999E-2</v>
      </c>
      <c r="L114" s="794">
        <f>'WACC BIPT &amp; Cullen 2013'!L114</f>
        <v>1.7951999999999999E-2</v>
      </c>
      <c r="M114" s="799">
        <f>'WACC BIPT &amp; Cullen 2013'!M114</f>
        <v>1.9980000000000001E-2</v>
      </c>
      <c r="N114" s="799">
        <f>'WACC BIPT &amp; Cullen 2013'!N114</f>
        <v>2.1419999999999998E-2</v>
      </c>
      <c r="O114" s="799">
        <f>'WACC BIPT &amp; Cullen 2013'!O114</f>
        <v>2.3190000000000002E-2</v>
      </c>
      <c r="P114" s="799">
        <f>'WACC BIPT &amp; Cullen 2013'!P114</f>
        <v>2.547E-2</v>
      </c>
      <c r="Q114" s="829">
        <f>'WACC BIPT &amp; Cullen 2013'!Q114</f>
        <v>2.8332000000000003E-2</v>
      </c>
      <c r="R114" s="865">
        <f>'WACC BIPT &amp; Cullen 2013'!R114</f>
        <v>0.85</v>
      </c>
    </row>
    <row r="115" spans="1:18">
      <c r="B115" s="166"/>
      <c r="C115" s="816" t="s">
        <v>143</v>
      </c>
      <c r="D115" s="166"/>
      <c r="E115" s="804">
        <f>'WACC BIPT &amp; Cullen 2013'!E115</f>
        <v>2.8679999999999995E-3</v>
      </c>
      <c r="F115" s="800">
        <f>'WACC BIPT &amp; Cullen 2013'!F115</f>
        <v>4.2179999999999995E-3</v>
      </c>
      <c r="G115" s="800">
        <f>'WACC BIPT &amp; Cullen 2013'!G115</f>
        <v>6.2639999999999996E-3</v>
      </c>
      <c r="H115" s="800">
        <f>'WACC BIPT &amp; Cullen 2013'!H115</f>
        <v>8.2740000000000001E-3</v>
      </c>
      <c r="I115" s="800">
        <f>'WACC BIPT &amp; Cullen 2013'!I115</f>
        <v>1.0421999999999999E-2</v>
      </c>
      <c r="J115" s="800">
        <f>'WACC BIPT &amp; Cullen 2013'!J115</f>
        <v>1.2977999999999998E-2</v>
      </c>
      <c r="K115" s="800">
        <f>'WACC BIPT &amp; Cullen 2013'!K115</f>
        <v>1.5377999999999999E-2</v>
      </c>
      <c r="L115" s="795">
        <f>'WACC BIPT &amp; Cullen 2013'!L115</f>
        <v>1.7022000000000002E-2</v>
      </c>
      <c r="M115" s="800">
        <f>'WACC BIPT &amp; Cullen 2013'!M115</f>
        <v>1.8641999999999999E-2</v>
      </c>
      <c r="N115" s="800">
        <f>'WACC BIPT &amp; Cullen 2013'!N115</f>
        <v>2.0663999999999998E-2</v>
      </c>
      <c r="O115" s="800">
        <f>'WACC BIPT &amp; Cullen 2013'!O115</f>
        <v>2.2787999999999999E-2</v>
      </c>
      <c r="P115" s="800">
        <f>'WACC BIPT &amp; Cullen 2013'!P115</f>
        <v>2.5223999999999996E-2</v>
      </c>
      <c r="Q115" s="830">
        <f>'WACC BIPT &amp; Cullen 2013'!Q115</f>
        <v>2.8763999999999998E-2</v>
      </c>
      <c r="R115" s="866">
        <f>'WACC BIPT &amp; Cullen 2013'!R115</f>
        <v>0.85</v>
      </c>
    </row>
    <row r="116" spans="1:18">
      <c r="B116" s="166"/>
      <c r="C116" s="816" t="s">
        <v>142</v>
      </c>
      <c r="D116" s="166"/>
      <c r="E116" s="804">
        <f>'WACC BIPT &amp; Cullen 2013'!E116</f>
        <v>3.7799999999999999E-3</v>
      </c>
      <c r="F116" s="800">
        <f>'WACC BIPT &amp; Cullen 2013'!F116</f>
        <v>5.4000000000000003E-3</v>
      </c>
      <c r="G116" s="800">
        <f>'WACC BIPT &amp; Cullen 2013'!G116</f>
        <v>7.3499999999999998E-3</v>
      </c>
      <c r="H116" s="800">
        <f>'WACC BIPT &amp; Cullen 2013'!H116</f>
        <v>9.3120000000000008E-3</v>
      </c>
      <c r="I116" s="800">
        <f>'WACC BIPT &amp; Cullen 2013'!I116</f>
        <v>1.1160000000000002E-2</v>
      </c>
      <c r="J116" s="800">
        <f>'WACC BIPT &amp; Cullen 2013'!J116</f>
        <v>1.2468E-2</v>
      </c>
      <c r="K116" s="800">
        <f>'WACC BIPT &amp; Cullen 2013'!K116</f>
        <v>1.3614000000000001E-2</v>
      </c>
      <c r="L116" s="795">
        <f>'WACC BIPT &amp; Cullen 2013'!L116</f>
        <v>1.5216E-2</v>
      </c>
      <c r="M116" s="800">
        <f>'WACC BIPT &amp; Cullen 2013'!M116</f>
        <v>1.7381999999999998E-2</v>
      </c>
      <c r="N116" s="800">
        <f>'WACC BIPT &amp; Cullen 2013'!N116</f>
        <v>2.0544E-2</v>
      </c>
      <c r="O116" s="800">
        <f>'WACC BIPT &amp; Cullen 2013'!O116</f>
        <v>2.4215999999999994E-2</v>
      </c>
      <c r="P116" s="800">
        <f>'WACC BIPT &amp; Cullen 2013'!P116</f>
        <v>2.7857999999999997E-2</v>
      </c>
      <c r="Q116" s="830">
        <f>'WACC BIPT &amp; Cullen 2013'!Q116</f>
        <v>3.2453999999999997E-2</v>
      </c>
      <c r="R116" s="866">
        <f>'WACC BIPT &amp; Cullen 2013'!R116</f>
        <v>0.85</v>
      </c>
    </row>
    <row r="117" spans="1:18">
      <c r="B117" s="166"/>
      <c r="C117" s="816" t="s">
        <v>140</v>
      </c>
      <c r="D117" s="166"/>
      <c r="E117" s="804">
        <f>'WACC BIPT &amp; Cullen 2013'!E117</f>
        <v>5.2979999999999998E-3</v>
      </c>
      <c r="F117" s="800">
        <f>'WACC BIPT &amp; Cullen 2013'!F117</f>
        <v>8.7299999999999999E-3</v>
      </c>
      <c r="G117" s="800">
        <f>'WACC BIPT &amp; Cullen 2013'!G117</f>
        <v>1.1819999999999999E-2</v>
      </c>
      <c r="H117" s="800">
        <f>'WACC BIPT &amp; Cullen 2013'!H117</f>
        <v>1.5347999999999999E-2</v>
      </c>
      <c r="I117" s="800">
        <f>'WACC BIPT &amp; Cullen 2013'!I117</f>
        <v>1.8461999999999999E-2</v>
      </c>
      <c r="J117" s="800">
        <f>'WACC BIPT &amp; Cullen 2013'!J117</f>
        <v>2.1336000000000001E-2</v>
      </c>
      <c r="K117" s="800">
        <f>'WACC BIPT &amp; Cullen 2013'!K117</f>
        <v>2.4839999999999997E-2</v>
      </c>
      <c r="L117" s="795">
        <f>'WACC BIPT &amp; Cullen 2013'!L117</f>
        <v>2.9172E-2</v>
      </c>
      <c r="M117" s="112">
        <f>'WACC BIPT &amp; Cullen 2013'!M117</f>
        <v>3.4661999999999998E-2</v>
      </c>
      <c r="N117" s="112">
        <f>'WACC BIPT &amp; Cullen 2013'!N117</f>
        <v>4.0422E-2</v>
      </c>
      <c r="O117" s="112">
        <f>'WACC BIPT &amp; Cullen 2013'!O117</f>
        <v>4.5725999999999996E-2</v>
      </c>
      <c r="P117" s="112">
        <f>'WACC BIPT &amp; Cullen 2013'!P117</f>
        <v>5.0802000000000007E-2</v>
      </c>
      <c r="Q117" s="831">
        <f>'WACC BIPT &amp; Cullen 2013'!Q117</f>
        <v>5.5878000000000004E-2</v>
      </c>
      <c r="R117" s="866">
        <f>'WACC BIPT &amp; Cullen 2013'!R117</f>
        <v>0.85</v>
      </c>
    </row>
    <row r="118" spans="1:18">
      <c r="B118" s="166"/>
      <c r="C118" s="816" t="s">
        <v>171</v>
      </c>
      <c r="D118" s="166"/>
      <c r="E118" s="804">
        <f>'WACC BIPT &amp; Cullen 2013'!E118</f>
        <v>8.375999999999998E-3</v>
      </c>
      <c r="F118" s="800">
        <f>'WACC BIPT &amp; Cullen 2013'!F118</f>
        <v>1.2018000000000001E-2</v>
      </c>
      <c r="G118" s="800">
        <f>'WACC BIPT &amp; Cullen 2013'!G118</f>
        <v>1.6907999999999999E-2</v>
      </c>
      <c r="H118" s="800">
        <f>'WACC BIPT &amp; Cullen 2013'!H118</f>
        <v>2.1677999999999999E-2</v>
      </c>
      <c r="I118" s="800">
        <f>'WACC BIPT &amp; Cullen 2013'!I118</f>
        <v>2.6405999999999999E-2</v>
      </c>
      <c r="J118" s="800">
        <f>'WACC BIPT &amp; Cullen 2013'!J118</f>
        <v>3.2195999999999995E-2</v>
      </c>
      <c r="K118" s="800">
        <f>'WACC BIPT &amp; Cullen 2013'!K118</f>
        <v>3.7434000000000002E-2</v>
      </c>
      <c r="L118" s="795">
        <f>'WACC BIPT &amp; Cullen 2013'!L118</f>
        <v>4.2773999999999993E-2</v>
      </c>
      <c r="M118" s="112">
        <f>'WACC BIPT &amp; Cullen 2013'!M118</f>
        <v>4.7334000000000001E-2</v>
      </c>
      <c r="N118" s="112">
        <f>'WACC BIPT &amp; Cullen 2013'!N118</f>
        <v>5.0345999999999995E-2</v>
      </c>
      <c r="O118" s="112">
        <f>'WACC BIPT &amp; Cullen 2013'!O118</f>
        <v>5.6417999999999996E-2</v>
      </c>
      <c r="P118" s="112">
        <f>'WACC BIPT &amp; Cullen 2013'!P118</f>
        <v>6.3420000000000004E-2</v>
      </c>
      <c r="Q118" s="831">
        <f>'WACC BIPT &amp; Cullen 2013'!Q118</f>
        <v>6.8748000000000004E-2</v>
      </c>
      <c r="R118" s="866">
        <f>'WACC BIPT &amp; Cullen 2013'!R118</f>
        <v>0.85</v>
      </c>
    </row>
    <row r="119" spans="1:18">
      <c r="B119" s="166"/>
      <c r="C119" s="816" t="s">
        <v>148</v>
      </c>
      <c r="D119" s="166"/>
      <c r="E119" s="804">
        <f>'WACC BIPT &amp; Cullen 2013'!E119</f>
        <v>2.1588E-2</v>
      </c>
      <c r="F119" s="800">
        <f>'WACC BIPT &amp; Cullen 2013'!F119</f>
        <v>3.288E-2</v>
      </c>
      <c r="G119" s="800">
        <f>'WACC BIPT &amp; Cullen 2013'!G119</f>
        <v>4.3529999999999999E-2</v>
      </c>
      <c r="H119" s="800">
        <f>'WACC BIPT &amp; Cullen 2013'!H119</f>
        <v>5.4965999999999994E-2</v>
      </c>
      <c r="I119" s="800">
        <f>'WACC BIPT &amp; Cullen 2013'!I119</f>
        <v>6.3941999999999999E-2</v>
      </c>
      <c r="J119" s="800">
        <f>'WACC BIPT &amp; Cullen 2013'!J119</f>
        <v>7.0523999999999989E-2</v>
      </c>
      <c r="K119" s="800">
        <f>'WACC BIPT &amp; Cullen 2013'!K119</f>
        <v>7.7075999999999992E-2</v>
      </c>
      <c r="L119" s="795">
        <f>'WACC BIPT &amp; Cullen 2013'!L119</f>
        <v>8.4444000000000005E-2</v>
      </c>
      <c r="M119" s="112">
        <f>'WACC BIPT &amp; Cullen 2013'!M119</f>
        <v>9.2069999999999999E-2</v>
      </c>
      <c r="N119" s="112">
        <f>'WACC BIPT &amp; Cullen 2013'!N119</f>
        <v>0.10167</v>
      </c>
      <c r="O119" s="112">
        <f>'WACC BIPT &amp; Cullen 2013'!O119</f>
        <v>0.10829399999999999</v>
      </c>
      <c r="P119" s="112">
        <f>'WACC BIPT &amp; Cullen 2013'!P119</f>
        <v>0.11388</v>
      </c>
      <c r="Q119" s="831">
        <f>'WACC BIPT &amp; Cullen 2013'!Q119</f>
        <v>0.12297000000000001</v>
      </c>
      <c r="R119" s="866">
        <f>'WACC BIPT &amp; Cullen 2013'!R119</f>
        <v>0.75</v>
      </c>
    </row>
    <row r="120" spans="1:18">
      <c r="B120" s="166"/>
      <c r="C120" s="816" t="s">
        <v>429</v>
      </c>
      <c r="D120" s="166"/>
      <c r="E120" s="804">
        <f>'WACC BIPT &amp; Cullen 2013'!E120</f>
        <v>2.3873999999999999E-2</v>
      </c>
      <c r="F120" s="800">
        <f>'WACC BIPT &amp; Cullen 2013'!F120</f>
        <v>3.5604000000000004E-2</v>
      </c>
      <c r="G120" s="800">
        <f>'WACC BIPT &amp; Cullen 2013'!G120</f>
        <v>4.6079999999999996E-2</v>
      </c>
      <c r="H120" s="800">
        <f>'WACC BIPT &amp; Cullen 2013'!H120</f>
        <v>5.4288000000000003E-2</v>
      </c>
      <c r="I120" s="800">
        <f>'WACC BIPT &amp; Cullen 2013'!I120</f>
        <v>6.2519999999999992E-2</v>
      </c>
      <c r="J120" s="800">
        <f>'WACC BIPT &amp; Cullen 2013'!J120</f>
        <v>7.1795999999999985E-2</v>
      </c>
      <c r="K120" s="800">
        <f>'WACC BIPT &amp; Cullen 2013'!K120</f>
        <v>8.0502000000000004E-2</v>
      </c>
      <c r="L120" s="795">
        <f>'WACC BIPT &amp; Cullen 2013'!L120</f>
        <v>8.8481999999999991E-2</v>
      </c>
      <c r="M120" s="112">
        <f>'WACC BIPT &amp; Cullen 2013'!M120</f>
        <v>9.9299999999999999E-2</v>
      </c>
      <c r="N120" s="112">
        <f>'WACC BIPT &amp; Cullen 2013'!N120</f>
        <v>0.11093399999999999</v>
      </c>
      <c r="O120" s="112">
        <f>'WACC BIPT &amp; Cullen 2013'!O120</f>
        <v>0.12316199999999999</v>
      </c>
      <c r="P120" s="112">
        <f>'WACC BIPT &amp; Cullen 2013'!P120</f>
        <v>0.13480199999999998</v>
      </c>
      <c r="Q120" s="831">
        <f>'WACC BIPT &amp; Cullen 2013'!Q120</f>
        <v>0.14945399999999998</v>
      </c>
      <c r="R120" s="866">
        <f>'WACC BIPT &amp; Cullen 2013'!R120</f>
        <v>0.75</v>
      </c>
    </row>
    <row r="121" spans="1:18">
      <c r="B121" s="166"/>
      <c r="C121" s="816" t="s">
        <v>149</v>
      </c>
      <c r="D121" s="166"/>
      <c r="E121" s="804">
        <f>'WACC BIPT &amp; Cullen 2013'!E121</f>
        <v>5.4042E-2</v>
      </c>
      <c r="F121" s="800">
        <f>'WACC BIPT &amp; Cullen 2013'!F121</f>
        <v>7.8635999999999998E-2</v>
      </c>
      <c r="G121" s="800">
        <f>'WACC BIPT &amp; Cullen 2013'!G121</f>
        <v>9.8184000000000007E-2</v>
      </c>
      <c r="H121" s="800">
        <f>'WACC BIPT &amp; Cullen 2013'!H121</f>
        <v>0.11632800000000001</v>
      </c>
      <c r="I121" s="800">
        <f>'WACC BIPT &amp; Cullen 2013'!I121</f>
        <v>0.13294799999999998</v>
      </c>
      <c r="J121" s="800">
        <f>'WACC BIPT &amp; Cullen 2013'!J121</f>
        <v>0.14991599999999999</v>
      </c>
      <c r="K121" s="800">
        <f>'WACC BIPT &amp; Cullen 2013'!K121</f>
        <v>0.16625999999999999</v>
      </c>
      <c r="L121" s="795">
        <f>'WACC BIPT &amp; Cullen 2013'!L121</f>
        <v>0.182508</v>
      </c>
      <c r="M121" s="112">
        <f>'WACC BIPT &amp; Cullen 2013'!M121</f>
        <v>0.19522199999999998</v>
      </c>
      <c r="N121" s="112">
        <f>'WACC BIPT &amp; Cullen 2013'!N121</f>
        <v>0.20671199999999998</v>
      </c>
      <c r="O121" s="112">
        <f>'WACC BIPT &amp; Cullen 2013'!O121</f>
        <v>0.21993599999999999</v>
      </c>
      <c r="P121" s="112">
        <f>'WACC BIPT &amp; Cullen 2013'!P121</f>
        <v>0.23846400000000001</v>
      </c>
      <c r="Q121" s="831">
        <f>'WACC BIPT &amp; Cullen 2013'!Q121</f>
        <v>0.25164599999999998</v>
      </c>
      <c r="R121" s="866">
        <f>'WACC BIPT &amp; Cullen 2013'!R121</f>
        <v>0.75</v>
      </c>
    </row>
    <row r="122" spans="1:18">
      <c r="B122" s="166"/>
      <c r="C122" s="816" t="s">
        <v>141</v>
      </c>
      <c r="D122" s="166"/>
      <c r="E122" s="804">
        <f>'WACC BIPT &amp; Cullen 2013'!E122</f>
        <v>6.7103999999999997E-2</v>
      </c>
      <c r="F122" s="800">
        <f>'WACC BIPT &amp; Cullen 2013'!F122</f>
        <v>9.1661999999999993E-2</v>
      </c>
      <c r="G122" s="800">
        <f>'WACC BIPT &amp; Cullen 2013'!G122</f>
        <v>0.116886</v>
      </c>
      <c r="H122" s="800">
        <f>'WACC BIPT &amp; Cullen 2013'!H122</f>
        <v>0.14174999999999999</v>
      </c>
      <c r="I122" s="800">
        <f>'WACC BIPT &amp; Cullen 2013'!I122</f>
        <v>0.16810199999999997</v>
      </c>
      <c r="J122" s="800">
        <f>'WACC BIPT &amp; Cullen 2013'!J122</f>
        <v>0.19002000000000002</v>
      </c>
      <c r="K122" s="800">
        <f>'WACC BIPT &amp; Cullen 2013'!K122</f>
        <v>0.209178</v>
      </c>
      <c r="L122" s="795">
        <f>'WACC BIPT &amp; Cullen 2013'!L122</f>
        <v>0.227634</v>
      </c>
      <c r="M122" s="112">
        <f>'WACC BIPT &amp; Cullen 2013'!M122</f>
        <v>0.24274799999999999</v>
      </c>
      <c r="N122" s="112">
        <f>'WACC BIPT &amp; Cullen 2013'!N122</f>
        <v>0.25864199999999998</v>
      </c>
      <c r="O122" s="112">
        <f>'WACC BIPT &amp; Cullen 2013'!O122</f>
        <v>0.27477599999999996</v>
      </c>
      <c r="P122" s="112">
        <f>'WACC BIPT &amp; Cullen 2013'!P122</f>
        <v>0.291126</v>
      </c>
      <c r="Q122" s="831">
        <f>'WACC BIPT &amp; Cullen 2013'!Q122</f>
        <v>0.30029999999999996</v>
      </c>
      <c r="R122" s="866">
        <f>'WACC BIPT &amp; Cullen 2013'!R122</f>
        <v>0.75</v>
      </c>
    </row>
    <row r="123" spans="1:18">
      <c r="B123" s="166"/>
      <c r="C123" s="816" t="s">
        <v>150</v>
      </c>
      <c r="D123" s="166"/>
      <c r="E123" s="804">
        <f>'WACC BIPT &amp; Cullen 2013'!E123</f>
        <v>8.8494000000000003E-2</v>
      </c>
      <c r="F123" s="800">
        <f>'WACC BIPT &amp; Cullen 2013'!F123</f>
        <v>0.11900399999999998</v>
      </c>
      <c r="G123" s="800">
        <f>'WACC BIPT &amp; Cullen 2013'!G123</f>
        <v>0.14521200000000001</v>
      </c>
      <c r="H123" s="800">
        <f>'WACC BIPT &amp; Cullen 2013'!H123</f>
        <v>0.16969200000000001</v>
      </c>
      <c r="I123" s="800">
        <f>'WACC BIPT &amp; Cullen 2013'!I123</f>
        <v>0.19164599999999998</v>
      </c>
      <c r="J123" s="800">
        <f>'WACC BIPT &amp; Cullen 2013'!J123</f>
        <v>0.21069599999999997</v>
      </c>
      <c r="K123" s="800">
        <f>'WACC BIPT &amp; Cullen 2013'!K123</f>
        <v>0.230022</v>
      </c>
      <c r="L123" s="795">
        <f>'WACC BIPT &amp; Cullen 2013'!L123</f>
        <v>0.24579000000000001</v>
      </c>
      <c r="M123" s="112">
        <f>'WACC BIPT &amp; Cullen 2013'!M123</f>
        <v>0.25759199999999999</v>
      </c>
      <c r="N123" s="112">
        <f>'WACC BIPT &amp; Cullen 2013'!N123</f>
        <v>0.26609399999999994</v>
      </c>
      <c r="O123" s="112">
        <f>'WACC BIPT &amp; Cullen 2013'!O123</f>
        <v>0.27526800000000001</v>
      </c>
      <c r="P123" s="112">
        <f>'WACC BIPT &amp; Cullen 2013'!P123</f>
        <v>0.285912</v>
      </c>
      <c r="Q123" s="831">
        <f>'WACC BIPT &amp; Cullen 2013'!Q123</f>
        <v>0.30340199999999995</v>
      </c>
      <c r="R123" s="866">
        <f>'WACC BIPT &amp; Cullen 2013'!R123</f>
        <v>0.75</v>
      </c>
    </row>
    <row r="124" spans="1:18" ht="13.8" thickBot="1">
      <c r="B124" s="819"/>
      <c r="C124" s="817" t="s">
        <v>166</v>
      </c>
      <c r="D124" s="166"/>
      <c r="E124" s="805">
        <f>'WACC BIPT &amp; Cullen 2013'!E124</f>
        <v>0.12728399999999998</v>
      </c>
      <c r="F124" s="806">
        <f>'WACC BIPT &amp; Cullen 2013'!F124</f>
        <v>0.16400399999999998</v>
      </c>
      <c r="G124" s="806">
        <f>'WACC BIPT &amp; Cullen 2013'!G124</f>
        <v>0.19636199999999995</v>
      </c>
      <c r="H124" s="806">
        <f>'WACC BIPT &amp; Cullen 2013'!H124</f>
        <v>0.22632599999999997</v>
      </c>
      <c r="I124" s="806">
        <f>'WACC BIPT &amp; Cullen 2013'!I124</f>
        <v>0.25067400000000001</v>
      </c>
      <c r="J124" s="806">
        <f>'WACC BIPT &amp; Cullen 2013'!J124</f>
        <v>0.27195599999999998</v>
      </c>
      <c r="K124" s="806">
        <f>'WACC BIPT &amp; Cullen 2013'!K124</f>
        <v>0.28700400000000004</v>
      </c>
      <c r="L124" s="796">
        <f>'WACC BIPT &amp; Cullen 2013'!L124</f>
        <v>0.30083399999999999</v>
      </c>
      <c r="M124" s="155">
        <f>'WACC BIPT &amp; Cullen 2013'!M124</f>
        <v>0.31490399999999996</v>
      </c>
      <c r="N124" s="155">
        <f>'WACC BIPT &amp; Cullen 2013'!N124</f>
        <v>0.33036599999999999</v>
      </c>
      <c r="O124" s="155">
        <f>'WACC BIPT &amp; Cullen 2013'!O124</f>
        <v>0.339198</v>
      </c>
      <c r="P124" s="155">
        <f>'WACC BIPT &amp; Cullen 2013'!P124</f>
        <v>0.34679399999999999</v>
      </c>
      <c r="Q124" s="833">
        <f>'WACC BIPT &amp; Cullen 2013'!Q124</f>
        <v>0.35220000000000001</v>
      </c>
      <c r="R124" s="867">
        <f>'WACC BIPT &amp; Cullen 2013'!R124</f>
        <v>0.75</v>
      </c>
    </row>
    <row r="125" spans="1:18">
      <c r="B125" s="198"/>
      <c r="C125" s="198"/>
      <c r="D125" s="195"/>
      <c r="E125" s="167"/>
      <c r="F125" s="167"/>
      <c r="G125" s="184"/>
      <c r="H125" s="167"/>
      <c r="I125" s="167"/>
      <c r="J125" s="166"/>
      <c r="K125" s="167"/>
      <c r="L125" s="167"/>
      <c r="M125" s="184"/>
      <c r="N125" s="167"/>
      <c r="O125" s="167"/>
      <c r="P125" s="184"/>
      <c r="Q125" s="167"/>
      <c r="R125" s="167"/>
    </row>
    <row r="127" spans="1:18" s="707" customFormat="1">
      <c r="A127" s="706" t="s">
        <v>418</v>
      </c>
      <c r="B127" s="707" t="s">
        <v>418</v>
      </c>
      <c r="C127" s="708"/>
      <c r="I127" s="709"/>
      <c r="J127" s="709"/>
      <c r="K127" s="710"/>
      <c r="L127" s="711"/>
      <c r="M127" s="712"/>
    </row>
  </sheetData>
  <mergeCells count="20">
    <mergeCell ref="B19:C19"/>
    <mergeCell ref="B14:C14"/>
    <mergeCell ref="B15:C15"/>
    <mergeCell ref="B16:C16"/>
    <mergeCell ref="B17:C17"/>
    <mergeCell ref="B18:C18"/>
    <mergeCell ref="AG10:AJ10"/>
    <mergeCell ref="B11:C11"/>
    <mergeCell ref="B12:C12"/>
    <mergeCell ref="B1:C1"/>
    <mergeCell ref="AH1:AI1"/>
    <mergeCell ref="B3:C3"/>
    <mergeCell ref="B4:C4"/>
    <mergeCell ref="B5:C5"/>
    <mergeCell ref="B6:C6"/>
    <mergeCell ref="AC1:AD1"/>
    <mergeCell ref="AB10:AE10"/>
    <mergeCell ref="B7:C7"/>
    <mergeCell ref="B8:C8"/>
    <mergeCell ref="B9:C9"/>
  </mergeCells>
  <dataValidations count="4">
    <dataValidation type="list" allowBlank="1" showInputMessage="1" showErrorMessage="1" sqref="G2 P2 M2 D2 J2">
      <formula1>$E$56:$Q$56</formula1>
    </dataValidation>
    <dataValidation type="list" allowBlank="1" showInputMessage="1" showErrorMessage="1" sqref="D14:R14">
      <formula1>$C$66:$C$76</formula1>
    </dataValidation>
    <dataValidation type="list" allowBlank="1" showInputMessage="1" showErrorMessage="1" sqref="B20">
      <formula1>$A$40:$A$41</formula1>
    </dataValidation>
    <dataValidation type="list" allowBlank="1" showInputMessage="1" showErrorMessage="1" sqref="C24 C10">
      <formula1>$A$43:$A$44</formula1>
    </dataValidation>
  </dataValidations>
  <pageMargins left="0.78740157480314965" right="0.78740157480314965" top="0.98425196850393704" bottom="0.98425196850393704" header="0.51181102362204722" footer="0.51181102362204722"/>
  <pageSetup paperSize="9"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dimension ref="A1:S74"/>
  <sheetViews>
    <sheetView showGridLines="0" zoomScale="80" zoomScaleNormal="80" workbookViewId="0">
      <pane xSplit="1" ySplit="1" topLeftCell="B2" activePane="bottomRight" state="frozen"/>
      <selection pane="topRight" activeCell="B1" sqref="B1"/>
      <selection pane="bottomLeft" activeCell="A2" sqref="A2"/>
      <selection pane="bottomRight" activeCell="F81" sqref="F81"/>
    </sheetView>
  </sheetViews>
  <sheetFormatPr baseColWidth="10" defaultColWidth="11.44140625" defaultRowHeight="13.2"/>
  <cols>
    <col min="1" max="1" width="3.6640625" style="4" customWidth="1"/>
    <col min="2" max="2" width="22.5546875" style="4" customWidth="1"/>
    <col min="3" max="3" width="9.6640625" style="4" customWidth="1"/>
    <col min="4" max="4" width="8.44140625" style="4" customWidth="1"/>
    <col min="5" max="5" width="10.33203125" style="4" customWidth="1"/>
    <col min="6" max="6" width="21" style="4" customWidth="1"/>
    <col min="7" max="7" width="9.33203125" style="4" customWidth="1"/>
    <col min="8" max="8" width="21" style="4" customWidth="1"/>
    <col min="9" max="9" width="11.44140625" style="4"/>
    <col min="10" max="10" width="5.88671875" style="4" customWidth="1"/>
    <col min="11" max="11" width="11.44140625" style="4" customWidth="1"/>
    <col min="12" max="12" width="13.33203125" style="4" customWidth="1"/>
    <col min="13" max="18" width="11.44140625" style="4"/>
    <col min="19" max="19" width="11.44140625" style="1335"/>
    <col min="20" max="16384" width="11.44140625" style="4"/>
  </cols>
  <sheetData>
    <row r="1" spans="2:19">
      <c r="B1" s="559" t="s">
        <v>361</v>
      </c>
      <c r="C1" s="560"/>
      <c r="S1" s="1335" t="s">
        <v>418</v>
      </c>
    </row>
    <row r="2" spans="2:19">
      <c r="B2" s="20"/>
    </row>
    <row r="3" spans="2:19">
      <c r="C3" s="2" t="s">
        <v>95</v>
      </c>
      <c r="D3" s="2" t="s">
        <v>64</v>
      </c>
      <c r="E3" s="2"/>
      <c r="F3" s="2"/>
      <c r="G3" s="15" t="s">
        <v>96</v>
      </c>
      <c r="H3" s="2"/>
      <c r="I3" s="24" t="s">
        <v>97</v>
      </c>
      <c r="M3" s="4" t="s">
        <v>97</v>
      </c>
    </row>
    <row r="4" spans="2:19" ht="14.4">
      <c r="B4" s="2" t="s">
        <v>81</v>
      </c>
      <c r="C4" s="7">
        <v>7.6999999999999999E-2</v>
      </c>
      <c r="D4" s="5">
        <f>AVERAGE(C4:C17,C19:C20)</f>
        <v>0.10042187499999999</v>
      </c>
      <c r="E4" s="5"/>
      <c r="F4" s="2" t="s">
        <v>66</v>
      </c>
      <c r="G4" s="8">
        <v>0.08</v>
      </c>
      <c r="H4" s="8"/>
      <c r="I4" s="25">
        <f>C4-G4</f>
        <v>-3.0000000000000027E-3</v>
      </c>
      <c r="K4" s="16" t="s">
        <v>100</v>
      </c>
      <c r="L4" s="16" t="s">
        <v>103</v>
      </c>
      <c r="M4" s="16">
        <v>-1.5899999999999997E-2</v>
      </c>
      <c r="N4" s="14">
        <f>-(2%+M4)</f>
        <v>-4.1000000000000029E-3</v>
      </c>
      <c r="O4" s="5">
        <f>M4</f>
        <v>-1.5899999999999997E-2</v>
      </c>
      <c r="P4" s="16" t="str">
        <f t="shared" ref="P4:P12" si="0">CONCATENATE(K4," ",L4)</f>
        <v>Belgique  2010-2008</v>
      </c>
    </row>
    <row r="5" spans="2:19">
      <c r="B5" s="2" t="s">
        <v>110</v>
      </c>
      <c r="C5" s="21">
        <v>8.2000000000000003E-2</v>
      </c>
      <c r="D5" s="5">
        <f>$D$4</f>
        <v>0.10042187499999999</v>
      </c>
      <c r="E5" s="17"/>
      <c r="F5" s="2" t="s">
        <v>110</v>
      </c>
      <c r="G5" s="18">
        <v>8.7499999999999994E-2</v>
      </c>
      <c r="H5" s="17"/>
      <c r="I5" s="25">
        <f t="shared" ref="I5:I17" si="1">C5-G5</f>
        <v>-5.499999999999991E-3</v>
      </c>
      <c r="K5" s="2" t="s">
        <v>101</v>
      </c>
      <c r="L5" s="2" t="s">
        <v>102</v>
      </c>
      <c r="M5" s="5">
        <v>-1.1099999999999999E-2</v>
      </c>
      <c r="N5" s="14">
        <f t="shared" ref="N5:N9" si="2">-(2%+M5)</f>
        <v>-8.9000000000000017E-3</v>
      </c>
      <c r="O5" s="5">
        <f t="shared" ref="O5:O12" si="3">M5</f>
        <v>-1.1099999999999999E-2</v>
      </c>
      <c r="P5" s="17" t="str">
        <f t="shared" si="0"/>
        <v>Pays-Bas  2010-2006</v>
      </c>
      <c r="Q5" s="2"/>
    </row>
    <row r="6" spans="2:19">
      <c r="B6" s="2" t="s">
        <v>113</v>
      </c>
      <c r="C6" s="18">
        <f>7.19%+1.4%</f>
        <v>8.5900000000000004E-2</v>
      </c>
      <c r="D6" s="5">
        <f t="shared" ref="D6:D20" si="4">$D$4</f>
        <v>0.10042187499999999</v>
      </c>
      <c r="E6" s="17"/>
      <c r="F6" s="2" t="s">
        <v>68</v>
      </c>
      <c r="G6" s="17">
        <v>9.4700000000000006E-2</v>
      </c>
      <c r="H6" s="17" t="s">
        <v>84</v>
      </c>
      <c r="I6" s="25">
        <f t="shared" si="1"/>
        <v>-8.8000000000000023E-3</v>
      </c>
      <c r="K6" s="2" t="s">
        <v>114</v>
      </c>
      <c r="L6" s="2" t="s">
        <v>104</v>
      </c>
      <c r="M6" s="5">
        <v>-8.8000000000000023E-3</v>
      </c>
      <c r="N6" s="14">
        <f t="shared" si="2"/>
        <v>-1.1199999999999998E-2</v>
      </c>
      <c r="O6" s="5">
        <f t="shared" si="3"/>
        <v>-8.8000000000000023E-3</v>
      </c>
      <c r="P6" s="17" t="str">
        <f t="shared" si="0"/>
        <v>Allemagne** 2009-2007</v>
      </c>
      <c r="Q6" s="2"/>
    </row>
    <row r="7" spans="2:19" ht="14.4">
      <c r="B7" s="2" t="s">
        <v>79</v>
      </c>
      <c r="C7" s="7">
        <v>8.6900000000000005E-2</v>
      </c>
      <c r="D7" s="5">
        <f t="shared" si="4"/>
        <v>0.10042187499999999</v>
      </c>
      <c r="E7" s="16"/>
      <c r="F7" s="2" t="s">
        <v>88</v>
      </c>
      <c r="G7" s="19">
        <v>9.8000000000000004E-2</v>
      </c>
      <c r="H7" s="16"/>
      <c r="I7" s="25">
        <f t="shared" si="1"/>
        <v>-1.1099999999999999E-2</v>
      </c>
      <c r="K7" s="2" t="s">
        <v>112</v>
      </c>
      <c r="L7" s="2" t="s">
        <v>105</v>
      </c>
      <c r="M7" s="5">
        <v>-5.499999999999991E-3</v>
      </c>
      <c r="N7" s="14">
        <f t="shared" si="2"/>
        <v>-1.4500000000000009E-2</v>
      </c>
      <c r="O7" s="5">
        <f t="shared" si="3"/>
        <v>-5.499999999999991E-3</v>
      </c>
      <c r="P7" s="17" t="str">
        <f t="shared" si="0"/>
        <v>Suisse * 2009-2008</v>
      </c>
      <c r="Q7" s="2"/>
    </row>
    <row r="8" spans="2:19">
      <c r="B8" s="2" t="s">
        <v>67</v>
      </c>
      <c r="C8" s="17">
        <v>9.1999999999999998E-2</v>
      </c>
      <c r="D8" s="5">
        <f t="shared" si="4"/>
        <v>0.10042187499999999</v>
      </c>
      <c r="E8" s="17"/>
      <c r="F8" s="2" t="s">
        <v>67</v>
      </c>
      <c r="G8" s="17">
        <v>9.1999999999999998E-2</v>
      </c>
      <c r="H8" s="17" t="s">
        <v>86</v>
      </c>
      <c r="I8" s="25"/>
      <c r="K8" s="2" t="s">
        <v>106</v>
      </c>
      <c r="L8" s="2" t="s">
        <v>105</v>
      </c>
      <c r="M8" s="5">
        <v>-3.0000000000000027E-3</v>
      </c>
      <c r="N8" s="14">
        <f t="shared" si="2"/>
        <v>-1.6999999999999998E-2</v>
      </c>
      <c r="O8" s="5">
        <f t="shared" si="3"/>
        <v>-3.0000000000000027E-3</v>
      </c>
      <c r="P8" s="17" t="str">
        <f t="shared" si="0"/>
        <v>Danemark  2009-2008</v>
      </c>
      <c r="Q8" s="2"/>
    </row>
    <row r="9" spans="2:19" s="1" customFormat="1" ht="14.4">
      <c r="B9" s="1" t="s">
        <v>78</v>
      </c>
      <c r="C9" s="22">
        <v>9.6100000000000005E-2</v>
      </c>
      <c r="D9" s="5">
        <f t="shared" si="4"/>
        <v>0.10042187499999999</v>
      </c>
      <c r="E9" s="16"/>
      <c r="F9" s="16" t="s">
        <v>72</v>
      </c>
      <c r="G9" s="16">
        <v>0.112</v>
      </c>
      <c r="I9" s="25">
        <f t="shared" si="1"/>
        <v>-1.5899999999999997E-2</v>
      </c>
      <c r="K9" s="2" t="s">
        <v>38</v>
      </c>
      <c r="L9" s="2" t="s">
        <v>103</v>
      </c>
      <c r="M9" s="5">
        <v>-3.0000000000000027E-3</v>
      </c>
      <c r="N9" s="14">
        <f t="shared" si="2"/>
        <v>-1.6999999999999998E-2</v>
      </c>
      <c r="O9" s="5">
        <f t="shared" si="3"/>
        <v>-3.0000000000000027E-3</v>
      </c>
      <c r="P9" s="17" t="str">
        <f t="shared" si="0"/>
        <v>France 2010-2008</v>
      </c>
      <c r="Q9" s="2"/>
      <c r="S9" s="1336"/>
    </row>
    <row r="10" spans="2:19">
      <c r="B10" s="2" t="s">
        <v>98</v>
      </c>
      <c r="C10" s="17">
        <v>0.10100000000000001</v>
      </c>
      <c r="D10" s="5">
        <f t="shared" si="4"/>
        <v>0.10042187499999999</v>
      </c>
      <c r="E10" s="17"/>
      <c r="F10" s="2" t="s">
        <v>93</v>
      </c>
      <c r="G10" s="17">
        <v>0.1</v>
      </c>
      <c r="H10" s="17"/>
      <c r="I10" s="25">
        <f t="shared" si="1"/>
        <v>1.0000000000000009E-3</v>
      </c>
      <c r="K10" s="2" t="s">
        <v>107</v>
      </c>
      <c r="L10" s="2" t="s">
        <v>108</v>
      </c>
      <c r="M10" s="5">
        <v>1.0000000000000009E-3</v>
      </c>
      <c r="O10" s="5">
        <f t="shared" si="3"/>
        <v>1.0000000000000009E-3</v>
      </c>
      <c r="P10" s="17" t="str">
        <f t="shared" si="0"/>
        <v>R.U. BL BT 2009-2005</v>
      </c>
      <c r="Q10" s="2"/>
    </row>
    <row r="11" spans="2:19">
      <c r="B11" s="2" t="s">
        <v>69</v>
      </c>
      <c r="C11" s="17">
        <v>0.10199999999999999</v>
      </c>
      <c r="D11" s="5">
        <f t="shared" si="4"/>
        <v>0.10042187499999999</v>
      </c>
      <c r="E11" s="17"/>
      <c r="F11" s="2" t="s">
        <v>69</v>
      </c>
      <c r="G11" s="17">
        <v>0.10199999999999999</v>
      </c>
      <c r="H11" s="17" t="s">
        <v>86</v>
      </c>
      <c r="I11" s="25"/>
      <c r="K11" s="2" t="s">
        <v>109</v>
      </c>
      <c r="L11" s="2" t="s">
        <v>105</v>
      </c>
      <c r="M11" s="5">
        <v>1.2999999999999956E-3</v>
      </c>
      <c r="O11" s="5">
        <f t="shared" si="3"/>
        <v>1.2999999999999956E-3</v>
      </c>
      <c r="P11" s="17" t="str">
        <f t="shared" si="0"/>
        <v>Espagne  2009-2008</v>
      </c>
      <c r="Q11" s="2"/>
    </row>
    <row r="12" spans="2:19">
      <c r="B12" s="2" t="s">
        <v>74</v>
      </c>
      <c r="C12" s="17">
        <v>0.1021</v>
      </c>
      <c r="D12" s="5">
        <f t="shared" si="4"/>
        <v>0.10042187499999999</v>
      </c>
      <c r="E12" s="17"/>
      <c r="F12" s="2" t="s">
        <v>74</v>
      </c>
      <c r="G12" s="17">
        <v>0.1021</v>
      </c>
      <c r="H12" s="17" t="s">
        <v>86</v>
      </c>
      <c r="I12" s="25"/>
      <c r="K12" s="2" t="s">
        <v>117</v>
      </c>
      <c r="L12" s="2" t="s">
        <v>105</v>
      </c>
      <c r="M12" s="5">
        <v>4.4000000000000011E-3</v>
      </c>
      <c r="O12" s="5">
        <f t="shared" si="3"/>
        <v>4.4000000000000011E-3</v>
      </c>
      <c r="P12" s="17" t="str">
        <f t="shared" si="0"/>
        <v>Finlande*** 2009-2008</v>
      </c>
      <c r="Q12" s="2"/>
    </row>
    <row r="13" spans="2:19" ht="14.4">
      <c r="B13" s="2" t="s">
        <v>116</v>
      </c>
      <c r="C13" s="23">
        <f>AVERAGE(9.36%, 11.15%)</f>
        <v>0.10255</v>
      </c>
      <c r="D13" s="5">
        <f t="shared" si="4"/>
        <v>0.10042187499999999</v>
      </c>
      <c r="E13" s="17"/>
      <c r="F13" s="2" t="s">
        <v>115</v>
      </c>
      <c r="G13" s="23">
        <f>AVERAGE(8.73%, 10.9%)</f>
        <v>9.8150000000000001E-2</v>
      </c>
      <c r="H13" s="2"/>
      <c r="I13" s="25">
        <f t="shared" si="1"/>
        <v>4.4000000000000011E-3</v>
      </c>
    </row>
    <row r="14" spans="2:19">
      <c r="B14" s="2" t="s">
        <v>77</v>
      </c>
      <c r="C14" s="17">
        <v>0.104</v>
      </c>
      <c r="D14" s="5">
        <f t="shared" si="4"/>
        <v>0.10042187499999999</v>
      </c>
      <c r="E14" s="17"/>
      <c r="F14" s="2" t="s">
        <v>82</v>
      </c>
      <c r="G14" s="17">
        <v>0.107</v>
      </c>
      <c r="H14" s="2"/>
      <c r="I14" s="25">
        <f t="shared" si="1"/>
        <v>-3.0000000000000027E-3</v>
      </c>
    </row>
    <row r="15" spans="2:19">
      <c r="B15" s="2" t="s">
        <v>70</v>
      </c>
      <c r="C15" s="17">
        <v>0.104</v>
      </c>
      <c r="D15" s="5">
        <f t="shared" si="4"/>
        <v>0.10042187499999999</v>
      </c>
      <c r="E15" s="17"/>
      <c r="F15" s="2" t="s">
        <v>70</v>
      </c>
      <c r="G15" s="17">
        <v>0.104</v>
      </c>
      <c r="H15" s="17" t="s">
        <v>86</v>
      </c>
      <c r="I15" s="25"/>
      <c r="K15" s="2"/>
      <c r="L15" s="2"/>
      <c r="M15" s="5"/>
    </row>
    <row r="16" spans="2:19">
      <c r="B16" s="2" t="s">
        <v>80</v>
      </c>
      <c r="C16" s="17">
        <v>0.1048</v>
      </c>
      <c r="D16" s="5">
        <f t="shared" si="4"/>
        <v>0.10042187499999999</v>
      </c>
      <c r="E16" s="17"/>
      <c r="F16" s="17" t="s">
        <v>83</v>
      </c>
      <c r="G16" s="17">
        <v>0.1048</v>
      </c>
      <c r="H16" s="17" t="s">
        <v>99</v>
      </c>
      <c r="I16" s="25"/>
      <c r="K16" s="17"/>
      <c r="L16" s="17"/>
      <c r="M16" s="5"/>
    </row>
    <row r="17" spans="1:17">
      <c r="B17" s="2" t="s">
        <v>91</v>
      </c>
      <c r="C17" s="17">
        <v>0.1094</v>
      </c>
      <c r="D17" s="5">
        <f t="shared" si="4"/>
        <v>0.10042187499999999</v>
      </c>
      <c r="E17" s="17"/>
      <c r="F17" s="2" t="s">
        <v>71</v>
      </c>
      <c r="G17" s="17">
        <v>0.1081</v>
      </c>
      <c r="H17" s="17"/>
      <c r="I17" s="25">
        <f t="shared" si="1"/>
        <v>1.2999999999999956E-3</v>
      </c>
      <c r="M17" s="409" t="s">
        <v>532</v>
      </c>
      <c r="N17" s="410"/>
      <c r="O17" s="410"/>
      <c r="P17" s="410"/>
      <c r="Q17" s="411"/>
    </row>
    <row r="18" spans="1:17">
      <c r="B18" s="1" t="s">
        <v>72</v>
      </c>
      <c r="C18" s="16">
        <v>0.112</v>
      </c>
      <c r="D18" s="5">
        <f t="shared" si="4"/>
        <v>0.10042187499999999</v>
      </c>
      <c r="I18" s="25"/>
      <c r="M18" s="412" t="s">
        <v>294</v>
      </c>
      <c r="N18" s="413"/>
      <c r="O18" s="413"/>
      <c r="P18" s="413"/>
      <c r="Q18" s="414"/>
    </row>
    <row r="19" spans="1:17">
      <c r="B19" s="2" t="s">
        <v>73</v>
      </c>
      <c r="C19" s="17">
        <v>0.125</v>
      </c>
      <c r="D19" s="5">
        <f t="shared" si="4"/>
        <v>0.10042187499999999</v>
      </c>
      <c r="E19" s="17"/>
      <c r="F19" s="2" t="s">
        <v>73</v>
      </c>
      <c r="G19" s="17">
        <v>0.125</v>
      </c>
      <c r="H19" s="17" t="s">
        <v>86</v>
      </c>
      <c r="I19" s="25"/>
      <c r="M19" s="1228" t="s">
        <v>530</v>
      </c>
      <c r="N19" s="413"/>
      <c r="O19" s="413"/>
      <c r="P19" s="413"/>
      <c r="Q19" s="415">
        <v>0.1145</v>
      </c>
    </row>
    <row r="20" spans="1:17">
      <c r="A20" s="2"/>
      <c r="B20" s="2" t="s">
        <v>89</v>
      </c>
      <c r="C20" s="17">
        <v>0.13200000000000001</v>
      </c>
      <c r="D20" s="5">
        <f t="shared" si="4"/>
        <v>0.10042187499999999</v>
      </c>
      <c r="E20" s="17"/>
      <c r="F20" s="2" t="s">
        <v>89</v>
      </c>
      <c r="G20" s="17">
        <v>0.13200000000000001</v>
      </c>
      <c r="H20" s="17" t="s">
        <v>86</v>
      </c>
      <c r="I20" s="24"/>
      <c r="M20" s="1228" t="s">
        <v>531</v>
      </c>
      <c r="N20" s="413"/>
      <c r="O20" s="1229"/>
      <c r="P20" s="416">
        <f>'WACC BIPT &amp; Cullen 2013'!$V$28</f>
        <v>9.8924829571277073E-2</v>
      </c>
      <c r="Q20" s="414"/>
    </row>
    <row r="21" spans="1:17">
      <c r="D21" s="5"/>
      <c r="E21" s="5"/>
      <c r="I21" s="25"/>
      <c r="M21" s="412" t="s">
        <v>291</v>
      </c>
      <c r="N21" s="416">
        <f>AVERAGE(C4:C8,C10:C17,Q19,C19:C20)</f>
        <v>0.10157187500000001</v>
      </c>
      <c r="O21" s="413"/>
      <c r="P21" s="413"/>
      <c r="Q21" s="414"/>
    </row>
    <row r="22" spans="1:17">
      <c r="B22" s="2" t="s">
        <v>92</v>
      </c>
      <c r="C22" s="17">
        <v>0.11</v>
      </c>
      <c r="D22" s="17">
        <f>AVERAGE(C19:C29)</f>
        <v>0.12233333333333334</v>
      </c>
      <c r="E22" s="17"/>
      <c r="F22" s="2" t="s">
        <v>94</v>
      </c>
      <c r="G22" s="17">
        <v>0.114</v>
      </c>
      <c r="H22" s="17"/>
      <c r="I22" s="5"/>
      <c r="M22" s="417" t="s">
        <v>295</v>
      </c>
      <c r="N22" s="418">
        <f>MEDIAN(C4:C8,C10:C17,Q19,C19:C20)</f>
        <v>0.102325</v>
      </c>
      <c r="O22" s="419"/>
      <c r="P22" s="419"/>
      <c r="Q22" s="420"/>
    </row>
    <row r="23" spans="1:17">
      <c r="B23" s="2" t="s">
        <v>111</v>
      </c>
    </row>
    <row r="24" spans="1:17">
      <c r="B24" s="2" t="s">
        <v>131</v>
      </c>
      <c r="C24" s="8"/>
      <c r="H24" s="14"/>
    </row>
    <row r="25" spans="1:17">
      <c r="B25" s="241" t="s">
        <v>298</v>
      </c>
    </row>
    <row r="26" spans="1:17">
      <c r="C26" s="16"/>
      <c r="D26" s="16"/>
      <c r="E26" s="16"/>
    </row>
    <row r="27" spans="1:17">
      <c r="D27" s="5"/>
      <c r="E27" s="5"/>
      <c r="F27" s="5"/>
      <c r="G27" s="5"/>
      <c r="H27" s="5"/>
    </row>
    <row r="74" spans="2:19" s="1334" customFormat="1">
      <c r="B74" s="1334" t="s">
        <v>418</v>
      </c>
      <c r="S74" s="1337"/>
    </row>
  </sheetData>
  <sortState ref="K3:N11">
    <sortCondition ref="M3:M11"/>
  </sortState>
  <pageMargins left="0.78740157499999996" right="0.78740157499999996" top="0.984251969" bottom="0.984251969" header="0.4921259845" footer="0.4921259845"/>
  <pageSetup paperSize="9" orientation="portrait" verticalDpi="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dimension ref="B1:Z86"/>
  <sheetViews>
    <sheetView showGridLines="0" zoomScale="80" zoomScaleNormal="80" workbookViewId="0">
      <pane xSplit="1" ySplit="1" topLeftCell="B2" activePane="bottomRight" state="frozen"/>
      <selection pane="topRight" activeCell="B1" sqref="B1"/>
      <selection pane="bottomLeft" activeCell="A2" sqref="A2"/>
      <selection pane="bottomRight" activeCell="AA14" sqref="AA14"/>
    </sheetView>
  </sheetViews>
  <sheetFormatPr baseColWidth="10" defaultColWidth="11.44140625" defaultRowHeight="13.2"/>
  <cols>
    <col min="1" max="1" width="3.6640625" style="4" customWidth="1"/>
    <col min="2" max="2" width="18.6640625" style="4" customWidth="1"/>
    <col min="3" max="3" width="12.6640625" style="4" customWidth="1"/>
    <col min="4" max="4" width="9.33203125" style="4" customWidth="1"/>
    <col min="5" max="5" width="6.5546875" style="4" customWidth="1"/>
    <col min="6" max="6" width="18.88671875" style="4" customWidth="1"/>
    <col min="7" max="7" width="8.5546875" style="4" customWidth="1"/>
    <col min="8" max="8" width="13" style="4" customWidth="1"/>
    <col min="9" max="9" width="7.44140625" style="4" customWidth="1"/>
    <col min="10" max="10" width="6.109375" style="4" customWidth="1"/>
    <col min="11" max="11" width="14.33203125" style="4" customWidth="1"/>
    <col min="12" max="20" width="11.44140625" style="4"/>
    <col min="21" max="21" width="2.77734375" style="4" customWidth="1"/>
    <col min="22" max="22" width="5.44140625" style="4" customWidth="1"/>
    <col min="23" max="25" width="11.44140625" style="4"/>
    <col min="26" max="26" width="11.44140625" style="1335"/>
    <col min="27" max="16384" width="11.44140625" style="4"/>
  </cols>
  <sheetData>
    <row r="1" spans="2:26">
      <c r="B1" s="559" t="s">
        <v>362</v>
      </c>
      <c r="C1" s="560"/>
      <c r="Z1" s="1335" t="s">
        <v>418</v>
      </c>
    </row>
    <row r="2" spans="2:26">
      <c r="B2" s="20"/>
    </row>
    <row r="3" spans="2:26">
      <c r="C3" s="2" t="s">
        <v>125</v>
      </c>
      <c r="D3" s="2" t="s">
        <v>126</v>
      </c>
      <c r="E3" s="2"/>
      <c r="G3" s="15" t="s">
        <v>96</v>
      </c>
      <c r="H3" s="2"/>
      <c r="I3" s="24" t="s">
        <v>97</v>
      </c>
      <c r="J3" s="24"/>
      <c r="M3" s="1" t="s">
        <v>130</v>
      </c>
    </row>
    <row r="4" spans="2:26">
      <c r="B4" s="2" t="s">
        <v>85</v>
      </c>
      <c r="C4" s="18">
        <v>9.69E-2</v>
      </c>
      <c r="D4" s="17">
        <f>AVERAGE(C4:C10,C12:C16)</f>
        <v>0.11833194444444443</v>
      </c>
      <c r="E4" s="17"/>
      <c r="F4" s="2" t="s">
        <v>39</v>
      </c>
      <c r="G4" s="2" t="s">
        <v>30</v>
      </c>
      <c r="H4" s="2"/>
      <c r="I4" s="24"/>
      <c r="J4" s="24"/>
      <c r="K4" s="2" t="s">
        <v>127</v>
      </c>
      <c r="L4" s="2" t="s">
        <v>128</v>
      </c>
      <c r="M4" s="5">
        <v>-4.2999999999999997E-2</v>
      </c>
      <c r="N4" s="2" t="str">
        <f t="shared" ref="N4:N10" si="0">CONCATENATE(K4," ",L4)</f>
        <v>Royaume-Uni°° 2010-2007</v>
      </c>
      <c r="P4" s="5">
        <f>-(5%+M4)</f>
        <v>-7.0000000000000062E-3</v>
      </c>
      <c r="Q4" s="5">
        <f>M4</f>
        <v>-4.2999999999999997E-2</v>
      </c>
    </row>
    <row r="5" spans="2:26">
      <c r="B5" s="2" t="s">
        <v>81</v>
      </c>
      <c r="C5" s="17">
        <v>9.8500000000000004E-2</v>
      </c>
      <c r="D5" s="17">
        <f>$D$4</f>
        <v>0.11833194444444443</v>
      </c>
      <c r="E5" s="17"/>
      <c r="F5" s="2" t="s">
        <v>66</v>
      </c>
      <c r="G5" s="20">
        <v>0.11</v>
      </c>
      <c r="H5" s="2"/>
      <c r="I5" s="25">
        <f>C5-G5</f>
        <v>-1.1499999999999996E-2</v>
      </c>
      <c r="J5" s="24"/>
      <c r="K5" s="2" t="s">
        <v>45</v>
      </c>
      <c r="L5" s="2" t="s">
        <v>102</v>
      </c>
      <c r="M5" s="5">
        <v>-3.1999999999999987E-2</v>
      </c>
      <c r="N5" s="2" t="str">
        <f t="shared" si="0"/>
        <v>Pays-Bas 2010-2006</v>
      </c>
      <c r="P5" s="5">
        <f t="shared" ref="P5:P9" si="1">-(5%+M5)</f>
        <v>-1.8000000000000016E-2</v>
      </c>
      <c r="Q5" s="5">
        <f t="shared" ref="Q5:Q10" si="2">M5</f>
        <v>-3.1999999999999987E-2</v>
      </c>
    </row>
    <row r="6" spans="2:26" s="1" customFormat="1">
      <c r="B6" s="1" t="s">
        <v>78</v>
      </c>
      <c r="C6" s="16">
        <v>0.10050000000000001</v>
      </c>
      <c r="D6" s="17">
        <f t="shared" ref="D6:D16" si="3">$D$4</f>
        <v>0.11833194444444443</v>
      </c>
      <c r="E6" s="16"/>
      <c r="F6" s="1" t="s">
        <v>346</v>
      </c>
      <c r="G6" s="16">
        <v>0.12239999999999999</v>
      </c>
      <c r="I6" s="25">
        <f t="shared" ref="I6:I10" si="4">C6-G6</f>
        <v>-2.1899999999999989E-2</v>
      </c>
      <c r="J6" s="24"/>
      <c r="K6" s="1" t="s">
        <v>31</v>
      </c>
      <c r="L6" s="241" t="s">
        <v>102</v>
      </c>
      <c r="M6" s="16">
        <v>-2.1899999999999989E-2</v>
      </c>
      <c r="N6" s="2" t="str">
        <f t="shared" si="0"/>
        <v>Belgique 2010-2006</v>
      </c>
      <c r="P6" s="5">
        <f t="shared" si="1"/>
        <v>-2.8100000000000014E-2</v>
      </c>
      <c r="Q6" s="5">
        <f t="shared" si="2"/>
        <v>-2.1899999999999989E-2</v>
      </c>
      <c r="Z6" s="1336"/>
    </row>
    <row r="7" spans="2:26">
      <c r="B7" s="2" t="s">
        <v>118</v>
      </c>
      <c r="C7" s="17">
        <v>0.10199999999999999</v>
      </c>
      <c r="D7" s="17">
        <f t="shared" si="3"/>
        <v>0.11833194444444443</v>
      </c>
      <c r="E7" s="17"/>
      <c r="F7" s="2" t="s">
        <v>119</v>
      </c>
      <c r="G7" s="17">
        <v>0.14499999999999999</v>
      </c>
      <c r="H7" s="17"/>
      <c r="I7" s="25">
        <f t="shared" si="4"/>
        <v>-4.2999999999999997E-2</v>
      </c>
      <c r="J7" s="24"/>
      <c r="K7" s="2" t="s">
        <v>106</v>
      </c>
      <c r="L7" s="2" t="s">
        <v>105</v>
      </c>
      <c r="M7" s="5">
        <v>-1.1499999999999996E-2</v>
      </c>
      <c r="N7" s="2" t="str">
        <f t="shared" si="0"/>
        <v>Danemark  2009-2008</v>
      </c>
      <c r="P7" s="5">
        <f t="shared" si="1"/>
        <v>-3.8500000000000006E-2</v>
      </c>
      <c r="Q7" s="5">
        <f t="shared" si="2"/>
        <v>-1.1499999999999996E-2</v>
      </c>
    </row>
    <row r="8" spans="2:26">
      <c r="B8" s="2" t="s">
        <v>79</v>
      </c>
      <c r="C8" s="17">
        <v>0.1062</v>
      </c>
      <c r="D8" s="17">
        <f t="shared" si="3"/>
        <v>0.11833194444444443</v>
      </c>
      <c r="E8" s="17"/>
      <c r="F8" s="2" t="s">
        <v>88</v>
      </c>
      <c r="G8" s="19">
        <v>0.13819999999999999</v>
      </c>
      <c r="H8" s="17"/>
      <c r="I8" s="25">
        <f t="shared" si="4"/>
        <v>-3.1999999999999987E-2</v>
      </c>
      <c r="J8" s="24"/>
      <c r="K8" s="2" t="s">
        <v>38</v>
      </c>
      <c r="L8" s="2" t="s">
        <v>103</v>
      </c>
      <c r="M8" s="5">
        <v>-3.1999999999999945E-3</v>
      </c>
      <c r="N8" s="2" t="str">
        <f t="shared" si="0"/>
        <v>France 2010-2008</v>
      </c>
      <c r="P8" s="5">
        <f t="shared" si="1"/>
        <v>-4.6800000000000008E-2</v>
      </c>
      <c r="Q8" s="5">
        <f t="shared" si="2"/>
        <v>-3.1999999999999945E-3</v>
      </c>
    </row>
    <row r="9" spans="2:26">
      <c r="B9" s="2" t="s">
        <v>121</v>
      </c>
      <c r="C9" s="18">
        <f>AVERAGE(11.79%,11.78%,11%)</f>
        <v>0.11523333333333331</v>
      </c>
      <c r="D9" s="17">
        <f t="shared" si="3"/>
        <v>0.11833194444444443</v>
      </c>
      <c r="E9" s="17"/>
      <c r="F9" s="2" t="s">
        <v>123</v>
      </c>
      <c r="G9" s="17">
        <v>0.1164</v>
      </c>
      <c r="H9" s="17"/>
      <c r="I9" s="25">
        <f t="shared" si="4"/>
        <v>-1.1666666666666908E-3</v>
      </c>
      <c r="J9" s="24"/>
      <c r="K9" s="2" t="s">
        <v>129</v>
      </c>
      <c r="L9" s="2" t="s">
        <v>105</v>
      </c>
      <c r="M9" s="5">
        <v>-1.1666666666666908E-3</v>
      </c>
      <c r="N9" s="2" t="str">
        <f t="shared" si="0"/>
        <v>Espagne°°° 2009-2008</v>
      </c>
      <c r="P9" s="5">
        <f t="shared" si="1"/>
        <v>-4.8833333333333312E-2</v>
      </c>
      <c r="Q9" s="5">
        <f t="shared" si="2"/>
        <v>-1.1666666666666908E-3</v>
      </c>
    </row>
    <row r="10" spans="2:26">
      <c r="B10" s="2" t="s">
        <v>77</v>
      </c>
      <c r="C10" s="17">
        <v>0.1178</v>
      </c>
      <c r="D10" s="17">
        <f t="shared" si="3"/>
        <v>0.11833194444444443</v>
      </c>
      <c r="E10" s="17"/>
      <c r="F10" s="2" t="s">
        <v>82</v>
      </c>
      <c r="G10" s="17">
        <v>0.121</v>
      </c>
      <c r="H10" s="20"/>
      <c r="I10" s="25">
        <f t="shared" si="4"/>
        <v>-3.1999999999999945E-3</v>
      </c>
      <c r="J10" s="24"/>
      <c r="K10" s="2" t="s">
        <v>117</v>
      </c>
      <c r="L10" s="2" t="s">
        <v>105</v>
      </c>
      <c r="M10" s="5">
        <v>1.0949999999999988E-2</v>
      </c>
      <c r="N10" s="2" t="str">
        <f t="shared" si="0"/>
        <v>Finlande*** 2009-2008</v>
      </c>
      <c r="P10" s="5"/>
      <c r="Q10" s="5">
        <f t="shared" si="2"/>
        <v>1.0949999999999988E-2</v>
      </c>
    </row>
    <row r="11" spans="2:26">
      <c r="B11" s="1" t="s">
        <v>346</v>
      </c>
      <c r="C11" s="16">
        <v>0.12239999999999999</v>
      </c>
      <c r="D11" s="17">
        <f t="shared" si="3"/>
        <v>0.11833194444444443</v>
      </c>
      <c r="E11" s="17"/>
      <c r="F11" s="2"/>
      <c r="G11" s="17"/>
      <c r="H11" s="20"/>
      <c r="I11" s="24"/>
      <c r="J11" s="24"/>
    </row>
    <row r="12" spans="2:26">
      <c r="B12" s="2" t="s">
        <v>69</v>
      </c>
      <c r="C12" s="17">
        <v>0.124</v>
      </c>
      <c r="D12" s="17">
        <f t="shared" si="3"/>
        <v>0.11833194444444443</v>
      </c>
      <c r="E12" s="17"/>
      <c r="F12" s="2" t="s">
        <v>69</v>
      </c>
      <c r="G12" s="17">
        <v>0.124</v>
      </c>
      <c r="H12" s="17" t="s">
        <v>86</v>
      </c>
      <c r="I12" s="25"/>
      <c r="J12" s="24"/>
    </row>
    <row r="13" spans="2:26">
      <c r="B13" s="2" t="s">
        <v>67</v>
      </c>
      <c r="C13" s="17">
        <v>0.129</v>
      </c>
      <c r="D13" s="17">
        <f t="shared" si="3"/>
        <v>0.11833194444444443</v>
      </c>
      <c r="E13" s="17"/>
      <c r="F13" s="2" t="s">
        <v>67</v>
      </c>
      <c r="G13" s="17">
        <v>0.129</v>
      </c>
      <c r="H13" s="17" t="s">
        <v>86</v>
      </c>
      <c r="I13" s="25"/>
      <c r="J13" s="24"/>
    </row>
    <row r="14" spans="2:26" ht="14.4">
      <c r="B14" s="2" t="s">
        <v>116</v>
      </c>
      <c r="C14" s="23">
        <f>AVERAGE(13.08%, 14.87%)</f>
        <v>0.13974999999999999</v>
      </c>
      <c r="D14" s="17">
        <f t="shared" si="3"/>
        <v>0.11833194444444443</v>
      </c>
      <c r="E14" s="17"/>
      <c r="F14" s="2" t="s">
        <v>122</v>
      </c>
      <c r="G14" s="23">
        <f>AVERAGE(11.45%, 14.31%)</f>
        <v>0.1288</v>
      </c>
      <c r="H14" s="23"/>
      <c r="I14" s="25">
        <f>C14-G14</f>
        <v>1.0949999999999988E-2</v>
      </c>
      <c r="J14" s="24"/>
      <c r="L14" s="409" t="s">
        <v>293</v>
      </c>
      <c r="M14" s="410"/>
      <c r="N14" s="410"/>
      <c r="O14" s="410"/>
      <c r="P14" s="411"/>
      <c r="Q14" s="422"/>
      <c r="R14" s="410"/>
      <c r="S14" s="423" t="s">
        <v>259</v>
      </c>
      <c r="T14" s="430" t="s">
        <v>299</v>
      </c>
      <c r="V14" s="422" t="s">
        <v>347</v>
      </c>
      <c r="W14" s="410"/>
      <c r="X14" s="514" t="s">
        <v>299</v>
      </c>
    </row>
    <row r="15" spans="2:26">
      <c r="B15" s="2" t="s">
        <v>73</v>
      </c>
      <c r="C15" s="17">
        <v>0.14199999999999999</v>
      </c>
      <c r="D15" s="17">
        <f t="shared" si="3"/>
        <v>0.11833194444444443</v>
      </c>
      <c r="E15" s="17"/>
      <c r="F15" s="2" t="s">
        <v>73</v>
      </c>
      <c r="G15" s="17">
        <v>0.14199999999999999</v>
      </c>
      <c r="H15" s="17" t="s">
        <v>86</v>
      </c>
      <c r="I15" s="25"/>
      <c r="J15" s="24"/>
      <c r="L15" s="412" t="s">
        <v>294</v>
      </c>
      <c r="M15" s="413"/>
      <c r="N15" s="413"/>
      <c r="O15" s="413"/>
      <c r="P15" s="414"/>
      <c r="Q15" s="424" t="s">
        <v>81</v>
      </c>
      <c r="R15" s="413"/>
      <c r="S15" s="416">
        <f>'(Cullen 2010 Fixed)'!C4</f>
        <v>7.6999999999999999E-2</v>
      </c>
      <c r="T15" s="425">
        <f>C5-S15</f>
        <v>2.1500000000000005E-2</v>
      </c>
      <c r="V15" s="507" t="s">
        <v>70</v>
      </c>
      <c r="W15" s="508"/>
      <c r="X15" s="509">
        <v>4.4100000000000014E-2</v>
      </c>
    </row>
    <row r="16" spans="2:26">
      <c r="B16" s="2" t="s">
        <v>87</v>
      </c>
      <c r="C16" s="17">
        <v>0.14810000000000001</v>
      </c>
      <c r="D16" s="17">
        <f t="shared" si="3"/>
        <v>0.11833194444444443</v>
      </c>
      <c r="E16" s="17"/>
      <c r="F16" s="2" t="s">
        <v>87</v>
      </c>
      <c r="G16" s="17">
        <v>0.14810000000000001</v>
      </c>
      <c r="H16" s="17" t="s">
        <v>86</v>
      </c>
      <c r="I16" s="25"/>
      <c r="J16" s="24"/>
      <c r="L16" s="1228" t="s">
        <v>533</v>
      </c>
      <c r="M16" s="413"/>
      <c r="N16" s="413"/>
      <c r="O16" s="416">
        <v>0.1293</v>
      </c>
      <c r="P16" s="414"/>
      <c r="Q16" s="424" t="s">
        <v>113</v>
      </c>
      <c r="R16" s="397"/>
      <c r="S16" s="416">
        <f>'(Cullen 2010 Fixed)'!C6</f>
        <v>8.5900000000000004E-2</v>
      </c>
      <c r="T16" s="425">
        <f>C4-S16</f>
        <v>1.0999999999999996E-2</v>
      </c>
      <c r="V16" s="507" t="s">
        <v>116</v>
      </c>
      <c r="W16" s="508"/>
      <c r="X16" s="509">
        <v>3.7199999999999983E-2</v>
      </c>
    </row>
    <row r="17" spans="2:24">
      <c r="L17" s="1228" t="s">
        <v>531</v>
      </c>
      <c r="M17" s="413"/>
      <c r="N17" s="1229"/>
      <c r="O17" s="416">
        <f>'WACC BIPT &amp; Cullen 2013'!$Y$28</f>
        <v>0.10294103166186941</v>
      </c>
      <c r="P17" s="414"/>
      <c r="Q17" s="424" t="s">
        <v>79</v>
      </c>
      <c r="R17" s="413"/>
      <c r="S17" s="416">
        <f>'(Cullen 2010 Fixed)'!C7</f>
        <v>8.6900000000000005E-2</v>
      </c>
      <c r="T17" s="425">
        <f>C8-S17</f>
        <v>1.9299999999999998E-2</v>
      </c>
      <c r="V17" s="507" t="s">
        <v>67</v>
      </c>
      <c r="W17" s="508"/>
      <c r="X17" s="509">
        <v>3.7000000000000005E-2</v>
      </c>
    </row>
    <row r="18" spans="2:24">
      <c r="B18" s="4" t="s">
        <v>65</v>
      </c>
      <c r="C18" s="4" t="s">
        <v>30</v>
      </c>
      <c r="L18" s="412" t="s">
        <v>291</v>
      </c>
      <c r="M18" s="416">
        <f>AVERAGE(C4:C5,C7:C10,O16,C12:C16)</f>
        <v>0.12073194444444446</v>
      </c>
      <c r="N18" s="413"/>
      <c r="O18" s="413"/>
      <c r="P18" s="414"/>
      <c r="Q18" s="424" t="s">
        <v>67</v>
      </c>
      <c r="R18" s="413"/>
      <c r="S18" s="416">
        <f>'(Cullen 2010 Fixed)'!C8</f>
        <v>9.1999999999999998E-2</v>
      </c>
      <c r="T18" s="425">
        <f>C13-S18</f>
        <v>3.7000000000000005E-2</v>
      </c>
      <c r="V18" s="507" t="s">
        <v>69</v>
      </c>
      <c r="W18" s="508"/>
      <c r="X18" s="509">
        <v>2.2000000000000006E-2</v>
      </c>
    </row>
    <row r="19" spans="2:24">
      <c r="B19" s="2" t="s">
        <v>53</v>
      </c>
      <c r="C19" s="4" t="s">
        <v>43</v>
      </c>
      <c r="G19" s="5"/>
      <c r="L19" s="417" t="s">
        <v>295</v>
      </c>
      <c r="M19" s="418">
        <f>MEDIAN(C4:C5,C7:C10,O16,C12:C16)</f>
        <v>0.12090000000000001</v>
      </c>
      <c r="N19" s="419"/>
      <c r="O19" s="419"/>
      <c r="P19" s="420"/>
      <c r="Q19" s="424" t="s">
        <v>98</v>
      </c>
      <c r="R19" s="413"/>
      <c r="S19" s="416">
        <f>'(Cullen 2010 Fixed)'!C10</f>
        <v>0.10100000000000001</v>
      </c>
      <c r="T19" s="425">
        <f>C7-S19</f>
        <v>9.9999999999998701E-4</v>
      </c>
      <c r="V19" s="507" t="s">
        <v>81</v>
      </c>
      <c r="W19" s="508"/>
      <c r="X19" s="509">
        <v>2.1500000000000005E-2</v>
      </c>
    </row>
    <row r="20" spans="2:24">
      <c r="B20" s="2" t="s">
        <v>28</v>
      </c>
      <c r="C20" s="4" t="s">
        <v>30</v>
      </c>
      <c r="Q20" s="424" t="s">
        <v>69</v>
      </c>
      <c r="R20" s="413"/>
      <c r="S20" s="416">
        <f>'(Cullen 2010 Fixed)'!C11</f>
        <v>0.10199999999999999</v>
      </c>
      <c r="T20" s="425">
        <f>C12-S20</f>
        <v>2.2000000000000006E-2</v>
      </c>
      <c r="U20" s="241"/>
      <c r="V20" s="507" t="s">
        <v>79</v>
      </c>
      <c r="W20" s="508"/>
      <c r="X20" s="509">
        <v>1.9299999999999998E-2</v>
      </c>
    </row>
    <row r="21" spans="2:24">
      <c r="B21" s="2" t="s">
        <v>90</v>
      </c>
      <c r="C21" s="4" t="s">
        <v>30</v>
      </c>
      <c r="Q21" s="424" t="s">
        <v>116</v>
      </c>
      <c r="R21" s="413"/>
      <c r="S21" s="416">
        <f>'(Cullen 2010 Fixed)'!C13</f>
        <v>0.10255</v>
      </c>
      <c r="T21" s="425">
        <f>C14-S21</f>
        <v>3.7199999999999983E-2</v>
      </c>
      <c r="V21" s="507" t="s">
        <v>73</v>
      </c>
      <c r="W21" s="508"/>
      <c r="X21" s="509">
        <v>1.6999999999999987E-2</v>
      </c>
    </row>
    <row r="22" spans="2:24">
      <c r="B22" s="2" t="s">
        <v>74</v>
      </c>
      <c r="C22" s="4" t="s">
        <v>43</v>
      </c>
      <c r="Q22" s="424" t="s">
        <v>77</v>
      </c>
      <c r="R22" s="413"/>
      <c r="S22" s="416">
        <f>'(Cullen 2010 Fixed)'!C14</f>
        <v>0.104</v>
      </c>
      <c r="T22" s="425">
        <f>C10-S22</f>
        <v>1.3800000000000007E-2</v>
      </c>
      <c r="V22" s="510" t="s">
        <v>346</v>
      </c>
      <c r="W22" s="508"/>
      <c r="X22" s="509">
        <v>1.4799999999999994E-2</v>
      </c>
    </row>
    <row r="23" spans="2:24">
      <c r="B23" s="2"/>
      <c r="Q23" s="424" t="s">
        <v>70</v>
      </c>
      <c r="R23" s="413"/>
      <c r="S23" s="416">
        <f>'(Cullen 2010 Fixed)'!C15</f>
        <v>0.104</v>
      </c>
      <c r="T23" s="425">
        <f>C16-S23</f>
        <v>4.4100000000000014E-2</v>
      </c>
      <c r="V23" s="507" t="s">
        <v>77</v>
      </c>
      <c r="W23" s="508"/>
      <c r="X23" s="509">
        <v>1.3800000000000007E-2</v>
      </c>
    </row>
    <row r="24" spans="2:24">
      <c r="B24" s="241" t="s">
        <v>296</v>
      </c>
      <c r="C24" s="8"/>
      <c r="H24" s="14"/>
      <c r="Q24" s="424" t="s">
        <v>91</v>
      </c>
      <c r="R24" s="413"/>
      <c r="S24" s="416">
        <f>'(Cullen 2010 Fixed)'!C17</f>
        <v>0.1094</v>
      </c>
      <c r="T24" s="425">
        <f>C9-S24</f>
        <v>5.8333333333333154E-3</v>
      </c>
      <c r="V24" s="507" t="s">
        <v>113</v>
      </c>
      <c r="W24" s="508"/>
      <c r="X24" s="509">
        <v>1.0999999999999996E-2</v>
      </c>
    </row>
    <row r="25" spans="2:24">
      <c r="B25" s="3" t="s">
        <v>120</v>
      </c>
      <c r="C25" s="18"/>
      <c r="D25" s="5"/>
      <c r="E25" s="17"/>
      <c r="F25" s="2"/>
      <c r="H25" s="5"/>
      <c r="Q25" s="426" t="s">
        <v>346</v>
      </c>
      <c r="R25" s="413"/>
      <c r="S25" s="416">
        <f>'(Cullen 2010 Fixed)'!C18</f>
        <v>0.112</v>
      </c>
      <c r="T25" s="425">
        <f>O16-'(Cullen 2010 Fixed)'!Q19</f>
        <v>1.4799999999999994E-2</v>
      </c>
      <c r="V25" s="507" t="s">
        <v>91</v>
      </c>
      <c r="W25" s="508"/>
      <c r="X25" s="509">
        <v>5.8333333333333154E-3</v>
      </c>
    </row>
    <row r="26" spans="2:24">
      <c r="B26" s="2" t="s">
        <v>124</v>
      </c>
      <c r="H26" s="5"/>
      <c r="Q26" s="424" t="s">
        <v>73</v>
      </c>
      <c r="R26" s="413"/>
      <c r="S26" s="416">
        <f>'(Cullen 2010 Fixed)'!C19</f>
        <v>0.125</v>
      </c>
      <c r="T26" s="425">
        <f>C15-S26</f>
        <v>1.6999999999999987E-2</v>
      </c>
      <c r="V26" s="511" t="s">
        <v>98</v>
      </c>
      <c r="W26" s="512"/>
      <c r="X26" s="513">
        <v>9.9999999999998701E-4</v>
      </c>
    </row>
    <row r="27" spans="2:24">
      <c r="B27" s="241" t="s">
        <v>297</v>
      </c>
      <c r="H27" s="5"/>
      <c r="Q27" s="428" t="s">
        <v>291</v>
      </c>
      <c r="R27" s="410"/>
      <c r="S27" s="410"/>
      <c r="T27" s="429">
        <f>AVERAGE(T15:T26)</f>
        <v>2.0377777777777769E-2</v>
      </c>
    </row>
    <row r="28" spans="2:24">
      <c r="C28" s="18"/>
      <c r="D28" s="5"/>
      <c r="E28" s="17"/>
      <c r="F28" s="2"/>
      <c r="H28" s="5"/>
      <c r="Q28" s="417" t="s">
        <v>310</v>
      </c>
      <c r="R28" s="419"/>
      <c r="S28" s="419"/>
      <c r="T28" s="427">
        <f>MEDIAN(T15:T26)</f>
        <v>1.8149999999999993E-2</v>
      </c>
    </row>
    <row r="66" spans="2:26" s="1230" customFormat="1">
      <c r="Z66" s="1339"/>
    </row>
    <row r="67" spans="2:26" s="1338" customFormat="1">
      <c r="B67" s="1338" t="s">
        <v>418</v>
      </c>
      <c r="Z67" s="1340"/>
    </row>
    <row r="68" spans="2:26" s="1230" customFormat="1">
      <c r="Z68" s="1339"/>
    </row>
    <row r="69" spans="2:26" s="1230" customFormat="1">
      <c r="Z69" s="1339"/>
    </row>
    <row r="70" spans="2:26" s="1230" customFormat="1">
      <c r="Z70" s="1339"/>
    </row>
    <row r="71" spans="2:26" s="1230" customFormat="1">
      <c r="Z71" s="1339"/>
    </row>
    <row r="72" spans="2:26" s="1230" customFormat="1">
      <c r="Z72" s="1339"/>
    </row>
    <row r="73" spans="2:26" s="1230" customFormat="1">
      <c r="Z73" s="1339"/>
    </row>
    <row r="74" spans="2:26" s="1230" customFormat="1">
      <c r="Z74" s="1339"/>
    </row>
    <row r="75" spans="2:26" s="1230" customFormat="1">
      <c r="Z75" s="1339"/>
    </row>
    <row r="76" spans="2:26" s="1230" customFormat="1">
      <c r="Z76" s="1339"/>
    </row>
    <row r="77" spans="2:26" s="1230" customFormat="1">
      <c r="Z77" s="1339"/>
    </row>
    <row r="78" spans="2:26" s="1230" customFormat="1">
      <c r="Z78" s="1339"/>
    </row>
    <row r="79" spans="2:26" s="1230" customFormat="1">
      <c r="Z79" s="1339"/>
    </row>
    <row r="80" spans="2:26" s="1230" customFormat="1">
      <c r="Z80" s="1339"/>
    </row>
    <row r="81" spans="26:26" s="1230" customFormat="1">
      <c r="Z81" s="1339"/>
    </row>
    <row r="82" spans="26:26" s="1230" customFormat="1">
      <c r="Z82" s="1339"/>
    </row>
    <row r="83" spans="26:26" s="1230" customFormat="1">
      <c r="Z83" s="1339"/>
    </row>
    <row r="84" spans="26:26" s="1230" customFormat="1">
      <c r="Z84" s="1339"/>
    </row>
    <row r="85" spans="26:26" s="1230" customFormat="1">
      <c r="Z85" s="1339"/>
    </row>
    <row r="86" spans="26:26" s="1230" customFormat="1">
      <c r="Z86" s="1339"/>
    </row>
  </sheetData>
  <sortState ref="V14:X25">
    <sortCondition descending="1" ref="X14:X25"/>
  </sortState>
  <pageMargins left="0.78740157499999996" right="0.78740157499999996" top="0.984251969" bottom="0.984251969" header="0.4921259845" footer="0.4921259845"/>
  <pageSetup paperSize="9" orientation="portrait" verticalDpi="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dimension ref="A1:H43"/>
  <sheetViews>
    <sheetView topLeftCell="A2" zoomScale="90" zoomScaleNormal="90" workbookViewId="0">
      <selection activeCell="O34" sqref="O34"/>
    </sheetView>
  </sheetViews>
  <sheetFormatPr baseColWidth="10" defaultColWidth="11.44140625" defaultRowHeight="13.2"/>
  <cols>
    <col min="1" max="2" width="11.44140625" style="4"/>
    <col min="3" max="3" width="18.6640625" style="4" customWidth="1"/>
    <col min="4" max="4" width="15.109375" style="4" customWidth="1"/>
    <col min="5" max="5" width="21" style="4" customWidth="1"/>
    <col min="6" max="6" width="11.44140625" style="4"/>
    <col min="7" max="7" width="11.44140625" style="1160"/>
    <col min="8" max="16384" width="11.44140625" style="4"/>
  </cols>
  <sheetData>
    <row r="1" spans="1:8">
      <c r="A1" s="4" t="s">
        <v>26</v>
      </c>
    </row>
    <row r="2" spans="1:8">
      <c r="B2" s="4" t="s">
        <v>19</v>
      </c>
      <c r="D2" s="4" t="s">
        <v>27</v>
      </c>
      <c r="F2" s="4" t="s">
        <v>20</v>
      </c>
    </row>
    <row r="3" spans="1:8">
      <c r="A3" s="4" t="s">
        <v>28</v>
      </c>
      <c r="B3" s="5">
        <v>0.1048</v>
      </c>
      <c r="C3" s="5"/>
      <c r="E3" s="6" t="s">
        <v>29</v>
      </c>
      <c r="F3" s="4" t="s">
        <v>30</v>
      </c>
    </row>
    <row r="4" spans="1:8">
      <c r="A4" s="4" t="s">
        <v>31</v>
      </c>
      <c r="B4" s="5">
        <v>0.112</v>
      </c>
      <c r="C4" s="5"/>
      <c r="E4" s="4" t="s">
        <v>32</v>
      </c>
      <c r="F4" s="5">
        <v>0.12239999999999999</v>
      </c>
      <c r="G4" s="1160">
        <v>2006</v>
      </c>
    </row>
    <row r="5" spans="1:8" ht="14.4">
      <c r="A5" s="4" t="s">
        <v>33</v>
      </c>
      <c r="B5" s="7">
        <v>0.08</v>
      </c>
      <c r="C5" s="7"/>
      <c r="F5" s="8">
        <v>0.11</v>
      </c>
      <c r="G5" s="1160" t="s">
        <v>34</v>
      </c>
    </row>
    <row r="6" spans="1:8" ht="14.4">
      <c r="A6" s="4" t="s">
        <v>35</v>
      </c>
      <c r="B6" s="9">
        <f>AVERAGE(8.73%, 10.9%)</f>
        <v>9.8150000000000001E-2</v>
      </c>
      <c r="C6" s="9"/>
      <c r="E6" s="10" t="s">
        <v>36</v>
      </c>
      <c r="F6" s="9">
        <f>AVERAGE(11.45%, 14.31%)</f>
        <v>0.1288</v>
      </c>
      <c r="G6" s="1161" t="s">
        <v>37</v>
      </c>
    </row>
    <row r="7" spans="1:8">
      <c r="A7" s="4" t="s">
        <v>38</v>
      </c>
      <c r="B7" s="5">
        <v>0.107</v>
      </c>
      <c r="C7" s="5"/>
      <c r="F7" s="5">
        <v>0.121</v>
      </c>
      <c r="G7" s="1160">
        <v>2008</v>
      </c>
    </row>
    <row r="8" spans="1:8">
      <c r="A8" s="4" t="s">
        <v>39</v>
      </c>
      <c r="B8" s="5">
        <v>9.4700000000000006E-2</v>
      </c>
      <c r="C8" s="5"/>
      <c r="E8" s="11" t="s">
        <v>40</v>
      </c>
      <c r="F8" s="4" t="s">
        <v>30</v>
      </c>
    </row>
    <row r="9" spans="1:8">
      <c r="A9" s="4" t="s">
        <v>41</v>
      </c>
      <c r="B9" s="5">
        <v>0.104</v>
      </c>
      <c r="C9" s="5"/>
      <c r="F9" s="5">
        <v>0.14410000000000001</v>
      </c>
      <c r="G9" s="1160">
        <v>2008</v>
      </c>
    </row>
    <row r="10" spans="1:8">
      <c r="A10" s="4" t="s">
        <v>42</v>
      </c>
      <c r="B10" s="5">
        <v>0.1021</v>
      </c>
      <c r="C10" s="5"/>
      <c r="F10" s="4" t="s">
        <v>43</v>
      </c>
    </row>
    <row r="11" spans="1:8">
      <c r="A11" s="4" t="s">
        <v>44</v>
      </c>
      <c r="B11" s="5">
        <v>0.10199999999999999</v>
      </c>
      <c r="C11" s="5"/>
      <c r="F11" s="5">
        <v>0.124</v>
      </c>
      <c r="G11" s="1160">
        <v>2006</v>
      </c>
    </row>
    <row r="12" spans="1:8" ht="14.4">
      <c r="A12" s="4" t="s">
        <v>45</v>
      </c>
      <c r="B12" s="9">
        <v>9.8000000000000004E-2</v>
      </c>
      <c r="C12" s="9"/>
      <c r="E12" s="4" t="s">
        <v>46</v>
      </c>
      <c r="F12" s="5">
        <v>0.13800000000000001</v>
      </c>
      <c r="G12" s="1160">
        <v>2007</v>
      </c>
      <c r="H12" s="4" t="s">
        <v>47</v>
      </c>
    </row>
    <row r="13" spans="1:8">
      <c r="A13" s="4" t="s">
        <v>48</v>
      </c>
      <c r="B13" s="5">
        <v>0.125</v>
      </c>
      <c r="C13" s="5"/>
      <c r="F13" s="5">
        <v>0.125</v>
      </c>
      <c r="G13" s="1160">
        <v>2008</v>
      </c>
      <c r="H13" s="4" t="s">
        <v>49</v>
      </c>
    </row>
    <row r="14" spans="1:8" s="12" customFormat="1" ht="14.4">
      <c r="A14" s="12" t="s">
        <v>50</v>
      </c>
      <c r="B14" s="13">
        <v>0.13320000000000001</v>
      </c>
      <c r="C14" s="13"/>
      <c r="F14" s="12" t="s">
        <v>30</v>
      </c>
      <c r="G14" s="1162"/>
    </row>
    <row r="15" spans="1:8">
      <c r="A15" s="4" t="s">
        <v>51</v>
      </c>
      <c r="B15" s="5">
        <v>0.1081</v>
      </c>
      <c r="C15" s="5"/>
      <c r="F15" s="5">
        <v>0.1164</v>
      </c>
      <c r="G15" s="1160">
        <v>2008</v>
      </c>
    </row>
    <row r="16" spans="1:8">
      <c r="A16" s="4" t="s">
        <v>52</v>
      </c>
      <c r="B16" s="5">
        <v>9.0999999999999998E-2</v>
      </c>
      <c r="C16" s="5"/>
      <c r="F16" s="5">
        <v>0.129</v>
      </c>
      <c r="G16" s="1160">
        <v>2008</v>
      </c>
    </row>
    <row r="17" spans="1:8" s="12" customFormat="1" ht="14.4">
      <c r="A17" s="12" t="s">
        <v>53</v>
      </c>
      <c r="B17" s="13">
        <v>6.2199999999999998E-2</v>
      </c>
      <c r="C17" s="13"/>
      <c r="E17" s="12" t="s">
        <v>54</v>
      </c>
      <c r="F17" s="12" t="s">
        <v>30</v>
      </c>
      <c r="G17" s="1162"/>
    </row>
    <row r="18" spans="1:8">
      <c r="A18" s="4" t="s">
        <v>55</v>
      </c>
      <c r="B18" s="8">
        <v>0.1</v>
      </c>
      <c r="C18" s="8"/>
      <c r="E18" s="10" t="s">
        <v>56</v>
      </c>
      <c r="G18" s="1160">
        <v>2007</v>
      </c>
      <c r="H18" s="4" t="s">
        <v>57</v>
      </c>
    </row>
    <row r="19" spans="1:8">
      <c r="B19" s="8"/>
      <c r="C19" s="8"/>
    </row>
    <row r="20" spans="1:8">
      <c r="A20" s="4" t="s">
        <v>58</v>
      </c>
      <c r="D20" s="4" t="s">
        <v>59</v>
      </c>
      <c r="F20" s="4" t="s">
        <v>20</v>
      </c>
    </row>
    <row r="21" spans="1:8">
      <c r="A21" s="4" t="s">
        <v>53</v>
      </c>
      <c r="B21" s="1160">
        <v>2008</v>
      </c>
      <c r="C21" s="4" t="str">
        <f>CONCATENATE(A21," ",B21)</f>
        <v>Suisse 2008</v>
      </c>
      <c r="D21" s="5">
        <v>6.2199999999999998E-2</v>
      </c>
      <c r="F21" s="4" t="s">
        <v>30</v>
      </c>
    </row>
    <row r="22" spans="1:8" ht="14.4">
      <c r="A22" s="4" t="s">
        <v>33</v>
      </c>
      <c r="B22" s="1160">
        <v>2008</v>
      </c>
      <c r="C22" s="4" t="str">
        <f t="shared" ref="C22:C35" si="0">CONCATENATE(A22," ",B22)</f>
        <v>Danemark 2008</v>
      </c>
      <c r="D22" s="7">
        <v>0.08</v>
      </c>
      <c r="E22" s="5">
        <f>F22-D22</f>
        <v>0.03</v>
      </c>
      <c r="F22" s="8">
        <v>0.11</v>
      </c>
    </row>
    <row r="23" spans="1:8">
      <c r="A23" s="4" t="s">
        <v>52</v>
      </c>
      <c r="B23" s="1160">
        <v>2008</v>
      </c>
      <c r="C23" s="4" t="str">
        <f t="shared" si="0"/>
        <v>Suède 2008</v>
      </c>
      <c r="D23" s="5">
        <v>9.0999999999999998E-2</v>
      </c>
      <c r="E23" s="5">
        <f>F23-D23</f>
        <v>3.8000000000000006E-2</v>
      </c>
      <c r="F23" s="5">
        <v>0.129</v>
      </c>
    </row>
    <row r="24" spans="1:8">
      <c r="A24" s="4" t="s">
        <v>39</v>
      </c>
      <c r="B24" s="1160">
        <v>2007</v>
      </c>
      <c r="C24" s="4" t="str">
        <f t="shared" si="0"/>
        <v>Allemagne 2007</v>
      </c>
      <c r="D24" s="5">
        <v>9.4700000000000006E-2</v>
      </c>
      <c r="F24" s="4" t="s">
        <v>30</v>
      </c>
    </row>
    <row r="25" spans="1:8" ht="14.4">
      <c r="A25" s="4" t="s">
        <v>45</v>
      </c>
      <c r="B25" s="1160">
        <v>2006</v>
      </c>
      <c r="C25" s="4" t="str">
        <f t="shared" si="0"/>
        <v>Pays-Bas 2006</v>
      </c>
      <c r="D25" s="9">
        <v>9.8000000000000004E-2</v>
      </c>
      <c r="E25" s="5">
        <f>F25-D25</f>
        <v>4.0000000000000008E-2</v>
      </c>
      <c r="F25" s="5">
        <v>0.13800000000000001</v>
      </c>
    </row>
    <row r="26" spans="1:8" ht="14.4">
      <c r="A26" s="4" t="s">
        <v>35</v>
      </c>
      <c r="B26" s="1160">
        <v>2008</v>
      </c>
      <c r="C26" s="4" t="str">
        <f t="shared" si="0"/>
        <v>Finlande 2008</v>
      </c>
      <c r="D26" s="9">
        <f>AVERAGE(8.73%, 10.9%)</f>
        <v>9.8150000000000001E-2</v>
      </c>
      <c r="E26" s="5">
        <f>F26-D26</f>
        <v>3.0649999999999997E-2</v>
      </c>
      <c r="F26" s="9">
        <f>AVERAGE(11.45%, 14.31%)</f>
        <v>0.1288</v>
      </c>
    </row>
    <row r="27" spans="1:8">
      <c r="A27" s="4" t="s">
        <v>55</v>
      </c>
      <c r="B27" s="1160">
        <v>2005</v>
      </c>
      <c r="C27" s="4" t="str">
        <f t="shared" si="0"/>
        <v>Royaume-Uni 2005</v>
      </c>
      <c r="D27" s="8">
        <v>0.1</v>
      </c>
      <c r="E27" s="5"/>
    </row>
    <row r="28" spans="1:8">
      <c r="A28" s="4" t="s">
        <v>44</v>
      </c>
      <c r="B28" s="1160">
        <v>2006</v>
      </c>
      <c r="C28" s="4" t="str">
        <f t="shared" si="0"/>
        <v>Italie 2006</v>
      </c>
      <c r="D28" s="5">
        <v>0.10199999999999999</v>
      </c>
      <c r="E28" s="5">
        <f>F28-D28</f>
        <v>2.2000000000000006E-2</v>
      </c>
      <c r="F28" s="5">
        <v>0.124</v>
      </c>
    </row>
    <row r="29" spans="1:8">
      <c r="A29" s="4" t="s">
        <v>42</v>
      </c>
      <c r="B29" s="1160">
        <v>2008</v>
      </c>
      <c r="C29" s="4" t="str">
        <f t="shared" si="0"/>
        <v>Ireland 2008</v>
      </c>
      <c r="D29" s="5">
        <v>0.1021</v>
      </c>
      <c r="E29" s="5"/>
      <c r="F29" s="4" t="s">
        <v>43</v>
      </c>
    </row>
    <row r="30" spans="1:8">
      <c r="A30" s="4" t="s">
        <v>41</v>
      </c>
      <c r="B30" s="1160">
        <v>2006</v>
      </c>
      <c r="C30" s="4" t="str">
        <f t="shared" si="0"/>
        <v>Grèce 2006</v>
      </c>
      <c r="D30" s="5">
        <v>0.104</v>
      </c>
      <c r="E30" s="5">
        <f>F30-D30</f>
        <v>4.0100000000000011E-2</v>
      </c>
      <c r="F30" s="5">
        <v>0.14410000000000001</v>
      </c>
    </row>
    <row r="31" spans="1:8">
      <c r="A31" s="4" t="s">
        <v>28</v>
      </c>
      <c r="B31" s="1160" t="s">
        <v>60</v>
      </c>
      <c r="C31" s="4" t="str">
        <f t="shared" si="0"/>
        <v>Autriche 2004-2006, 2007?</v>
      </c>
      <c r="D31" s="5">
        <v>0.1048</v>
      </c>
      <c r="F31" s="4" t="s">
        <v>30</v>
      </c>
    </row>
    <row r="32" spans="1:8">
      <c r="A32" s="4" t="s">
        <v>38</v>
      </c>
      <c r="B32" s="1160">
        <v>2008</v>
      </c>
      <c r="C32" s="4" t="str">
        <f t="shared" si="0"/>
        <v>France 2008</v>
      </c>
      <c r="D32" s="5">
        <v>0.107</v>
      </c>
      <c r="E32" s="5">
        <f>F32-D32</f>
        <v>1.3999999999999999E-2</v>
      </c>
      <c r="F32" s="5">
        <v>0.121</v>
      </c>
    </row>
    <row r="33" spans="1:6">
      <c r="A33" s="4" t="s">
        <v>51</v>
      </c>
      <c r="B33" s="1160">
        <v>2008</v>
      </c>
      <c r="C33" s="4" t="str">
        <f t="shared" si="0"/>
        <v>Espagne 2008</v>
      </c>
      <c r="D33" s="5">
        <v>0.1081</v>
      </c>
      <c r="E33" s="5">
        <f>F33-D33</f>
        <v>8.3000000000000018E-3</v>
      </c>
      <c r="F33" s="5">
        <v>0.1164</v>
      </c>
    </row>
    <row r="34" spans="1:6">
      <c r="A34" s="4" t="s">
        <v>31</v>
      </c>
      <c r="B34" s="1160">
        <v>2008</v>
      </c>
      <c r="C34" s="4" t="str">
        <f t="shared" si="0"/>
        <v>Belgique 2008</v>
      </c>
      <c r="D34" s="5">
        <v>0.112</v>
      </c>
      <c r="E34" s="5">
        <f>F34-D34</f>
        <v>1.0399999999999993E-2</v>
      </c>
      <c r="F34" s="5">
        <v>0.12239999999999999</v>
      </c>
    </row>
    <row r="35" spans="1:6">
      <c r="A35" s="4" t="s">
        <v>48</v>
      </c>
      <c r="B35" s="1160">
        <v>2008</v>
      </c>
      <c r="C35" s="4" t="str">
        <f t="shared" si="0"/>
        <v>Norvège 2008</v>
      </c>
      <c r="D35" s="5">
        <v>0.125</v>
      </c>
      <c r="E35" s="5">
        <f>F35-D35</f>
        <v>0</v>
      </c>
      <c r="F35" s="5">
        <v>0.125</v>
      </c>
    </row>
    <row r="36" spans="1:6">
      <c r="A36" s="2" t="s">
        <v>3</v>
      </c>
      <c r="B36" s="1160"/>
      <c r="C36" s="2" t="s">
        <v>61</v>
      </c>
      <c r="D36" s="5">
        <v>9.5299999999999996E-2</v>
      </c>
    </row>
    <row r="37" spans="1:6">
      <c r="B37" s="1160"/>
      <c r="C37" s="2" t="s">
        <v>62</v>
      </c>
      <c r="D37" s="5">
        <v>9.0499999999999997E-2</v>
      </c>
    </row>
    <row r="38" spans="1:6">
      <c r="B38" s="1160"/>
      <c r="C38" s="2" t="s">
        <v>63</v>
      </c>
      <c r="F38" s="5">
        <v>9.5200000000000007E-2</v>
      </c>
    </row>
    <row r="39" spans="1:6">
      <c r="B39" s="1160"/>
      <c r="C39" s="2" t="s">
        <v>64</v>
      </c>
      <c r="D39" s="5">
        <f>AVERAGE(D21:D37)</f>
        <v>9.852058823529411E-2</v>
      </c>
      <c r="F39" s="5">
        <f>AVERAGE(F21:F37)</f>
        <v>0.12587000000000001</v>
      </c>
    </row>
    <row r="41" spans="1:6">
      <c r="E41" s="14"/>
    </row>
    <row r="43" spans="1:6">
      <c r="E43" s="5"/>
    </row>
  </sheetData>
  <phoneticPr fontId="11" type="noConversion"/>
  <hyperlinks>
    <hyperlink ref="E3" r:id="rId1" display="http://www.rtr.at/en/tk/KORE_2006"/>
  </hyperlinks>
  <pageMargins left="0.78740157499999996" right="0.78740157499999996" top="0.984251969" bottom="0.984251969" header="0.4921259845" footer="0.492125984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ssier Document Telecom FR" ma:contentTypeID="0x0101004FA21861B553C741A1AA3F2E5831C1CC050A02009F0EADBAC43CDC44A6BB8D97CFBD6481" ma:contentTypeVersion="8" ma:contentTypeDescription="Een nieuw document maken." ma:contentTypeScope="" ma:versionID="9447db78f319d3655f2cff6515b428fe">
  <xsd:schema xmlns:xsd="http://www.w3.org/2001/XMLSchema" xmlns:xs="http://www.w3.org/2001/XMLSchema" xmlns:p="http://schemas.microsoft.com/office/2006/metadata/properties" xmlns:ns1="2b4b6fc7-bde4-44a8-8bca-a78eb25a27e9" targetNamespace="http://schemas.microsoft.com/office/2006/metadata/properties" ma:root="true" ma:fieldsID="8d2607748f091be8897c9d816e6b6e6f" ns1:_="">
    <xsd:import namespace="2b4b6fc7-bde4-44a8-8bca-a78eb25a27e9"/>
    <xsd:element name="properties">
      <xsd:complexType>
        <xsd:sequence>
          <xsd:element name="documentManagement">
            <xsd:complexType>
              <xsd:all>
                <xsd:element ref="ns1:Group_x0020_Name" minOccurs="0"/>
                <xsd:element ref="ns1:Group_x0020_Date" minOccurs="0"/>
                <xsd:element ref="ns1:Dossier_x0020_Number" minOccurs="0"/>
                <xsd:element ref="ns1:History_x0020_of_x0020_Remarks" minOccurs="0"/>
                <xsd:element ref="ns1:Administrative" minOccurs="0"/>
                <xsd:element ref="ns1:Confidential1" minOccurs="0"/>
                <xsd:element ref="ns1:Version_x0020_Published_x0020_To_x0020_Library" minOccurs="0"/>
                <xsd:element ref="ns1:Version_x0020_Published_x0020_to_x0020_Internet" minOccurs="0"/>
                <xsd:element ref="ns1:QuickPartDocumentId" minOccurs="0"/>
                <xsd:element ref="ns1:d4ec9b080060429989fa5f940ee3f852" minOccurs="0"/>
                <xsd:element ref="ns1:TaxCatchAll" minOccurs="0"/>
                <xsd:element ref="ns1:o3cf37d2a5d34fd7955003a053893e5e" minOccurs="0"/>
                <xsd:element ref="ns1:_dlc_DocId" minOccurs="0"/>
                <xsd:element ref="ns1:TaxCatchAllLabel" minOccurs="0"/>
                <xsd:element ref="ns1:ma0d6816d453412a898e0908e90b1a73" minOccurs="0"/>
                <xsd:element ref="ns1:_dlc_DocIdUrl" minOccurs="0"/>
                <xsd:element ref="ns1: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6fc7-bde4-44a8-8bca-a78eb25a27e9" elementFormDefault="qualified">
    <xsd:import namespace="http://schemas.microsoft.com/office/2006/documentManagement/types"/>
    <xsd:import namespace="http://schemas.microsoft.com/office/infopath/2007/PartnerControls"/>
    <xsd:element name="Group_x0020_Name" ma:index="0" nillable="true" ma:displayName="Group Name" ma:list="{f15f9345-aa06-4986-9291-33fea2533fb7}" ma:internalName="Group_x0020_Name" ma:showField="Title" ma:web="2b4b6fc7-bde4-44a8-8bca-a78eb25a27e9">
      <xsd:simpleType>
        <xsd:restriction base="dms:Lookup"/>
      </xsd:simpleType>
    </xsd:element>
    <xsd:element name="Group_x0020_Date" ma:index="1" nillable="true" ma:displayName="Group Date" ma:format="DateOnly" ma:internalName="Group_x0020_Date">
      <xsd:simpleType>
        <xsd:restriction base="dms:DateTime"/>
      </xsd:simpleType>
    </xsd:element>
    <xsd:element name="Dossier_x0020_Number" ma:index="7" nillable="true" ma:displayName="Dossier Number" ma:internalName="Dossier_x0020_Number">
      <xsd:simpleType>
        <xsd:restriction base="dms:Text">
          <xsd:maxLength value="255"/>
        </xsd:restriction>
      </xsd:simpleType>
    </xsd:element>
    <xsd:element name="History_x0020_of_x0020_Remarks" ma:index="8" nillable="true" ma:displayName="History of Remarks" ma:internalName="History_x0020_of_x0020_Remarks">
      <xsd:simpleType>
        <xsd:restriction base="dms:Note">
          <xsd:maxLength value="255"/>
        </xsd:restriction>
      </xsd:simpleType>
    </xsd:element>
    <xsd:element name="Administrative" ma:index="9" nillable="true" ma:displayName="Administrative" ma:default="0" ma:internalName="Administrative">
      <xsd:simpleType>
        <xsd:restriction base="dms:Boolean"/>
      </xsd:simpleType>
    </xsd:element>
    <xsd:element name="Confidential1" ma:index="10" nillable="true" ma:displayName="Confidential" ma:default="0" ma:internalName="Confidential1">
      <xsd:simpleType>
        <xsd:restriction base="dms:Boolean"/>
      </xsd:simpleType>
    </xsd:element>
    <xsd:element name="Version_x0020_Published_x0020_To_x0020_Library" ma:index="11" nillable="true" ma:displayName="Version Published to Library" ma:internalName="Version_x0020_Published_x0020_To_x0020_Library">
      <xsd:simpleType>
        <xsd:restriction base="dms:Text">
          <xsd:maxLength value="255"/>
        </xsd:restriction>
      </xsd:simpleType>
    </xsd:element>
    <xsd:element name="Version_x0020_Published_x0020_to_x0020_Internet" ma:index="12" nillable="true" ma:displayName="Version Published to Internet" ma:internalName="Version_x0020_Published_x0020_to_x0020_Internet">
      <xsd:simpleType>
        <xsd:restriction base="dms:Text">
          <xsd:maxLength value="255"/>
        </xsd:restriction>
      </xsd:simpleType>
    </xsd:element>
    <xsd:element name="QuickPartDocumentId" ma:index="13" nillable="true" ma:displayName="Doc Id" ma:internalName="QuickPartDocumentId" ma:readOnly="false">
      <xsd:simpleType>
        <xsd:restriction base="dms:Text">
          <xsd:maxLength value="255"/>
        </xsd:restriction>
      </xsd:simpleType>
    </xsd:element>
    <xsd:element name="d4ec9b080060429989fa5f940ee3f852" ma:index="16" nillable="true" ma:taxonomy="true" ma:internalName="d4ec9b080060429989fa5f940ee3f852" ma:taxonomyFieldName="Service1" ma:displayName="Service" ma:readOnly="false" ma:default="" ma:fieldId="{d4ec9b08-0060-4299-89fa-5f940ee3f852}" ma:sspId="75b52628-4ae0-409d-b79e-6d0521b2c784" ma:termSetId="46b8dc2a-6372-4a7b-bdd4-6b0c5e787490"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aacb5312-317a-4e89-849f-bd5396de7844}" ma:internalName="TaxCatchAll" ma:showField="CatchAllData" ma:web="2b4b6fc7-bde4-44a8-8bca-a78eb25a27e9">
      <xsd:complexType>
        <xsd:complexContent>
          <xsd:extension base="dms:MultiChoiceLookup">
            <xsd:sequence>
              <xsd:element name="Value" type="dms:Lookup" maxOccurs="unbounded" minOccurs="0" nillable="true"/>
            </xsd:sequence>
          </xsd:extension>
        </xsd:complexContent>
      </xsd:complexType>
    </xsd:element>
    <xsd:element name="o3cf37d2a5d34fd7955003a053893e5e" ma:index="18" nillable="true" ma:taxonomy="true" ma:internalName="o3cf37d2a5d34fd7955003a053893e5e" ma:taxonomyFieldName="Languages" ma:displayName="Languages" ma:default="" ma:fieldId="{83cf37d2-a5d3-4fd7-9550-03a053893e5e}" ma:taxonomyMulti="true" ma:sspId="75b52628-4ae0-409d-b79e-6d0521b2c784" ma:termSetId="af6d6fcf-919d-4606-93f6-1f52cad124cb"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TaxCatchAllLabel" ma:index="23" nillable="true" ma:displayName="Taxonomy Catch All Column1" ma:hidden="true" ma:list="{aacb5312-317a-4e89-849f-bd5396de7844}" ma:internalName="TaxCatchAllLabel" ma:readOnly="true" ma:showField="CatchAllDataLabel" ma:web="2b4b6fc7-bde4-44a8-8bca-a78eb25a27e9">
      <xsd:complexType>
        <xsd:complexContent>
          <xsd:extension base="dms:MultiChoiceLookup">
            <xsd:sequence>
              <xsd:element name="Value" type="dms:Lookup" maxOccurs="unbounded" minOccurs="0" nillable="true"/>
            </xsd:sequence>
          </xsd:extension>
        </xsd:complexContent>
      </xsd:complexType>
    </xsd:element>
    <xsd:element name="ma0d6816d453412a898e0908e90b1a73" ma:index="24" nillable="true" ma:taxonomy="true" ma:internalName="ma0d6816d453412a898e0908e90b1a73" ma:taxonomyFieldName="Telecom_x0020_Document_x0020_Type" ma:displayName="Telecom Document Type" ma:default="" ma:fieldId="{6a0d6816-d453-412a-898e-0908e90b1a73}" ma:sspId="75b52628-4ae0-409d-b79e-6d0521b2c784" ma:termSetId="70a71869-97dc-44c4-809f-c82c1748fef0" ma:anchorId="00000000-0000-0000-0000-000000000000" ma:open="false" ma:isKeyword="false">
      <xsd:complexType>
        <xsd:sequence>
          <xsd:element ref="pc:Terms" minOccurs="0" maxOccurs="1"/>
        </xsd:sequence>
      </xsd:complex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Receiver>
    <Name>Add Dossier Service and Service Nr Eventhandler (Added)</Name>
    <Synchronization>Synchronous</Synchronization>
    <Type>10001</Type>
    <SequenceNumber>10030</SequenceNumber>
    <Assembly>BIPT.Ged, Version=1.0.0.0, Culture=neutral, PublicKeyToken=423c9e81cd84949a</Assembly>
    <Class>BIPT.Ged.EventReceivers.FillOutDossierServiceAndServiceNumber.FillOutDossierServiceAndServiceNumber</Class>
    <Data/>
    <Filter/>
  </Receiver>
  <Receiver>
    <Name>addin</Name>
    <Synchronization>Synchronous</Synchronization>
    <Type>1</Type>
    <SequenceNumber>10240</SequenceNumber>
    <Assembly>BIPT.Ged, Version=1.0.0.0, Culture=neutral, PublicKeyToken=423c9e81cd84949a</Assembly>
    <Class>BIPT.Ged.EventReceivers.FillOutDossierServiceAndServiceNumber.FillOutDossierServiceAndServiceNumber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ma0d6816d453412a898e0908e90b1a73 xmlns="2b4b6fc7-bde4-44a8-8bca-a78eb25a27e9">
      <Terms xmlns="http://schemas.microsoft.com/office/infopath/2007/PartnerControls"/>
    </ma0d6816d453412a898e0908e90b1a73>
    <Dossier_x0020_Number xmlns="2b4b6fc7-bde4-44a8-8bca-a78eb25a27e9">2012-001468</Dossier_x0020_Number>
    <_dlc_DocId xmlns="2b4b6fc7-bde4-44a8-8bca-a78eb25a27e9">DS12-4322-93</_dlc_DocId>
    <o3cf37d2a5d34fd7955003a053893e5e xmlns="2b4b6fc7-bde4-44a8-8bca-a78eb25a27e9">
      <Terms xmlns="http://schemas.microsoft.com/office/infopath/2007/PartnerControls"/>
    </o3cf37d2a5d34fd7955003a053893e5e>
    <_dlc_DocIdUrl xmlns="2b4b6fc7-bde4-44a8-8bca-a78eb25a27e9">
      <Url>http://teamworkingspace.bipt.local/sites/dossiers2012/10/2012001468/_layouts/DocIdRedir.aspx?ID=DS12-4322-93</Url>
      <Description>DS12-4322-93</Description>
    </_dlc_DocIdUrl>
    <TaxCatchAll xmlns="2b4b6fc7-bde4-44a8-8bca-a78eb25a27e9">
      <Value>77</Value>
    </TaxCatchAll>
    <QuickPartDocumentId xmlns="2b4b6fc7-bde4-44a8-8bca-a78eb25a27e9">DS12-4322-93</QuickPartDocumentId>
    <d4ec9b080060429989fa5f940ee3f852 xmlns="2b4b6fc7-bde4-44a8-8bca-a78eb25a27e9">
      <Terms xmlns="http://schemas.microsoft.com/office/infopath/2007/PartnerControls">
        <TermInfo xmlns="http://schemas.microsoft.com/office/infopath/2007/PartnerControls">
          <TermName xmlns="http://schemas.microsoft.com/office/infopath/2007/PartnerControls">Telecom And Media</TermName>
          <TermId xmlns="http://schemas.microsoft.com/office/infopath/2007/PartnerControls">0d70e459-47d9-475b-bd99-b3a781cfdf71</TermId>
        </TermInfo>
      </Terms>
    </d4ec9b080060429989fa5f940ee3f852>
    <Version_x0020_Published_x0020_To_x0020_Library xmlns="2b4b6fc7-bde4-44a8-8bca-a78eb25a27e9" xsi:nil="true"/>
    <Version_x0020_Published_x0020_to_x0020_Internet xmlns="2b4b6fc7-bde4-44a8-8bca-a78eb25a27e9" xsi:nil="true"/>
    <Group_x0020_Date xmlns="2b4b6fc7-bde4-44a8-8bca-a78eb25a27e9" xsi:nil="true"/>
    <Group_x0020_Name xmlns="2b4b6fc7-bde4-44a8-8bca-a78eb25a27e9" xsi:nil="true"/>
    <History_x0020_of_x0020_Remarks xmlns="2b4b6fc7-bde4-44a8-8bca-a78eb25a27e9" xsi:nil="true"/>
    <Administrative xmlns="2b4b6fc7-bde4-44a8-8bca-a78eb25a27e9">false</Administrative>
    <Confidential1 xmlns="2b4b6fc7-bde4-44a8-8bca-a78eb25a27e9">false</Confidential1>
  </documentManagement>
</p:properties>
</file>

<file path=customXml/itemProps1.xml><?xml version="1.0" encoding="utf-8"?>
<ds:datastoreItem xmlns:ds="http://schemas.openxmlformats.org/officeDocument/2006/customXml" ds:itemID="{B716D439-0145-4F4D-A635-87ABB076EBC3}"/>
</file>

<file path=customXml/itemProps2.xml><?xml version="1.0" encoding="utf-8"?>
<ds:datastoreItem xmlns:ds="http://schemas.openxmlformats.org/officeDocument/2006/customXml" ds:itemID="{4820CB53-1BA8-4F60-93EA-3AD4D7C16322}"/>
</file>

<file path=customXml/itemProps3.xml><?xml version="1.0" encoding="utf-8"?>
<ds:datastoreItem xmlns:ds="http://schemas.openxmlformats.org/officeDocument/2006/customXml" ds:itemID="{DF0E88AB-D4B9-4139-A997-6029CC1E54EE}"/>
</file>

<file path=customXml/itemProps4.xml><?xml version="1.0" encoding="utf-8"?>
<ds:datastoreItem xmlns:ds="http://schemas.openxmlformats.org/officeDocument/2006/customXml" ds:itemID="{E9522AEF-6D6A-48FC-8F19-8F890BAD0DD3}"/>
</file>

<file path=customXml/itemProps5.xml><?xml version="1.0" encoding="utf-8"?>
<ds:datastoreItem xmlns:ds="http://schemas.openxmlformats.org/officeDocument/2006/customXml" ds:itemID="{C7A6E7E2-0959-4250-B7E7-5630CFD741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INDEX-SUMMARY</vt:lpstr>
      <vt:lpstr>WACC BIPT &amp; Cullen 2013</vt:lpstr>
      <vt:lpstr>OUTPUTS</vt:lpstr>
      <vt:lpstr>For Simulations</vt:lpstr>
      <vt:lpstr>(Cullen 2010 Fixed)</vt:lpstr>
      <vt:lpstr>(Cullen 2010 Mobile)</vt:lpstr>
      <vt:lpstr>Feuil2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djibril diakité</dc:creator>
  <cp:lastModifiedBy>djibril diakite</cp:lastModifiedBy>
  <cp:lastPrinted>2009-04-14T04:38:16Z</cp:lastPrinted>
  <dcterms:created xsi:type="dcterms:W3CDTF">2006-03-09T22:15:29Z</dcterms:created>
  <dcterms:modified xsi:type="dcterms:W3CDTF">2014-04-02T10:10:24Z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d977a27b-e079-4b3f-8e47-8334a22ff2dc</vt:lpwstr>
  </property>
  <property fmtid="{D5CDD505-2E9C-101B-9397-08002B2CF9AE}" pid="3" name="Telecom_x0020_Document_x0020_Type">
    <vt:lpwstr/>
  </property>
  <property fmtid="{D5CDD505-2E9C-101B-9397-08002B2CF9AE}" pid="4" name="ContentTypeId">
    <vt:lpwstr>0x0101004FA21861B553C741A1AA3F2E5831C1CC050A02009F0EADBAC43CDC44A6BB8D97CFBD6481</vt:lpwstr>
  </property>
  <property fmtid="{D5CDD505-2E9C-101B-9397-08002B2CF9AE}" pid="5" name="Languages">
    <vt:lpwstr/>
  </property>
  <property fmtid="{D5CDD505-2E9C-101B-9397-08002B2CF9AE}" pid="6" name="Service1">
    <vt:lpwstr>77;#Telecom And Media|0d70e459-47d9-475b-bd99-b3a781cfdf71</vt:lpwstr>
  </property>
</Properties>
</file>