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t.deschoenmaek\Downloads\"/>
    </mc:Choice>
  </mc:AlternateContent>
  <xr:revisionPtr revIDLastSave="0" documentId="8_{F5A01F63-FC9F-4DDE-8961-F3EF59025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1" i="8" l="1"/>
  <c r="J23" i="10" l="1"/>
  <c r="M138" i="8" l="1"/>
  <c r="M137" i="8"/>
  <c r="M140" i="8"/>
  <c r="I135" i="8"/>
  <c r="J135" i="8"/>
  <c r="K135" i="8"/>
  <c r="L135" i="8"/>
  <c r="M135" i="8"/>
  <c r="H135" i="8"/>
  <c r="F135" i="8"/>
  <c r="G135" i="8"/>
  <c r="E135" i="8"/>
  <c r="L134" i="8"/>
  <c r="K134" i="8"/>
  <c r="J134" i="8"/>
  <c r="I134" i="8"/>
  <c r="H134" i="8"/>
  <c r="G134" i="8"/>
  <c r="F134" i="8"/>
  <c r="E134" i="8"/>
  <c r="M134" i="8"/>
  <c r="M120" i="8"/>
  <c r="M133" i="8" s="1"/>
  <c r="M114" i="8"/>
  <c r="M93" i="8"/>
  <c r="M103" i="8"/>
  <c r="F47" i="8"/>
  <c r="G47" i="8"/>
  <c r="H47" i="8"/>
  <c r="I47" i="8"/>
  <c r="E47" i="8"/>
  <c r="K47" i="8"/>
  <c r="K46" i="8" s="1"/>
  <c r="L47" i="8"/>
  <c r="L46" i="8" s="1"/>
  <c r="M47" i="8"/>
  <c r="M46" i="8" s="1"/>
  <c r="J47" i="8"/>
  <c r="J46" i="8" s="1"/>
  <c r="M63" i="8"/>
  <c r="M80" i="8"/>
  <c r="M52" i="8"/>
  <c r="M42" i="8"/>
  <c r="M109" i="8" s="1"/>
  <c r="M43" i="8"/>
  <c r="M87" i="8" s="1"/>
  <c r="M44" i="8"/>
  <c r="M88" i="8" s="1"/>
  <c r="M34" i="8"/>
  <c r="M29" i="8"/>
  <c r="M26" i="8"/>
  <c r="M25" i="8"/>
  <c r="M18" i="8"/>
  <c r="M3" i="8"/>
  <c r="L133" i="8" l="1"/>
  <c r="M111" i="8"/>
  <c r="M110" i="8"/>
  <c r="M86" i="8"/>
  <c r="M28" i="8"/>
  <c r="O14" i="5" l="1"/>
  <c r="O9" i="5"/>
  <c r="O7" i="5"/>
  <c r="O4" i="5"/>
  <c r="R43" i="4" l="1"/>
  <c r="R39" i="4" l="1"/>
  <c r="R40" i="4"/>
  <c r="R41" i="4"/>
  <c r="R33" i="4"/>
  <c r="R29" i="4"/>
  <c r="R26" i="4"/>
  <c r="R23" i="4"/>
  <c r="R16" i="4"/>
  <c r="R8" i="4"/>
  <c r="R3" i="4"/>
  <c r="M32" i="9" l="1"/>
  <c r="M27" i="9" s="1"/>
  <c r="M28" i="9"/>
  <c r="M49" i="9"/>
  <c r="M37" i="9"/>
  <c r="M9" i="9" l="1"/>
  <c r="M4" i="9"/>
  <c r="M3" i="9" l="1"/>
  <c r="M28" i="1" l="1"/>
  <c r="M22" i="1"/>
  <c r="M18" i="1"/>
  <c r="M13" i="1"/>
  <c r="M9" i="1"/>
  <c r="M5" i="1"/>
  <c r="M41" i="9"/>
  <c r="L7" i="5"/>
  <c r="M17" i="1" l="1"/>
  <c r="M4" i="1"/>
  <c r="M3" i="1" l="1"/>
  <c r="M34" i="1" s="1"/>
  <c r="M33" i="1"/>
  <c r="I23" i="10"/>
  <c r="N14" i="5" l="1"/>
  <c r="N9" i="5"/>
  <c r="N4" i="5"/>
  <c r="Q43" i="4" l="1"/>
  <c r="Q39" i="4" l="1"/>
  <c r="Q40" i="4"/>
  <c r="Q41" i="4"/>
  <c r="Q16" i="4"/>
  <c r="Q8" i="4"/>
  <c r="Q3" i="4"/>
  <c r="L140" i="8" l="1"/>
  <c r="L141" i="8"/>
  <c r="L80" i="8"/>
  <c r="L63" i="8"/>
  <c r="L52" i="8"/>
  <c r="L42" i="8" l="1"/>
  <c r="L43" i="8"/>
  <c r="L44" i="8"/>
  <c r="L34" i="8"/>
  <c r="L29" i="8"/>
  <c r="L28" i="8" l="1"/>
  <c r="M41" i="8" s="1"/>
  <c r="L109" i="8"/>
  <c r="L86" i="8"/>
  <c r="L110" i="8"/>
  <c r="L87" i="8"/>
  <c r="L111" i="8"/>
  <c r="L88" i="8"/>
  <c r="L18" i="8"/>
  <c r="L3" i="8"/>
  <c r="M85" i="8" l="1"/>
  <c r="M108" i="8"/>
  <c r="L41" i="8"/>
  <c r="L108" i="8" s="1"/>
  <c r="L49" i="9"/>
  <c r="L41" i="9"/>
  <c r="L37" i="9"/>
  <c r="L85" i="8" l="1"/>
  <c r="L32" i="9"/>
  <c r="L28" i="9"/>
  <c r="L9" i="9"/>
  <c r="L4" i="9"/>
  <c r="L3" i="9" s="1"/>
  <c r="K15" i="9"/>
  <c r="L27" i="9" l="1"/>
  <c r="L28" i="1"/>
  <c r="L13" i="1" l="1"/>
  <c r="L22" i="1"/>
  <c r="L9" i="1"/>
  <c r="L5" i="1"/>
  <c r="L18" i="1"/>
  <c r="L4" i="1" l="1"/>
  <c r="L17" i="1"/>
  <c r="D4" i="5"/>
  <c r="E4" i="5"/>
  <c r="F4" i="5"/>
  <c r="G4" i="5"/>
  <c r="H4" i="5"/>
  <c r="I4" i="5"/>
  <c r="J4" i="5"/>
  <c r="K4" i="5"/>
  <c r="L4" i="5"/>
  <c r="L3" i="1" l="1"/>
  <c r="L34" i="1" s="1"/>
  <c r="L33" i="1"/>
  <c r="H23" i="10"/>
  <c r="M20" i="5" l="1"/>
  <c r="M21" i="5"/>
  <c r="M19" i="5" l="1"/>
  <c r="P43" i="4"/>
  <c r="P39" i="4"/>
  <c r="P40" i="4"/>
  <c r="P41" i="4"/>
  <c r="P16" i="4"/>
  <c r="P8" i="4"/>
  <c r="P3" i="4"/>
  <c r="K140" i="8"/>
  <c r="K141" i="8"/>
  <c r="K114" i="8"/>
  <c r="K120" i="8"/>
  <c r="K133" i="8" s="1"/>
  <c r="K93" i="8"/>
  <c r="K80" i="8"/>
  <c r="K25" i="8"/>
  <c r="K26" i="8"/>
  <c r="K52" i="8"/>
  <c r="K43" i="8"/>
  <c r="K87" i="8" s="1"/>
  <c r="K44" i="8"/>
  <c r="K88" i="8" s="1"/>
  <c r="K42" i="8"/>
  <c r="K86" i="8" l="1"/>
  <c r="K111" i="8"/>
  <c r="K110" i="8"/>
  <c r="K103" i="8"/>
  <c r="K109" i="8" s="1"/>
  <c r="K18" i="8"/>
  <c r="K3" i="8"/>
  <c r="K49" i="9" l="1"/>
  <c r="K37" i="9"/>
  <c r="K41" i="9"/>
  <c r="K32" i="9" l="1"/>
  <c r="K28" i="9"/>
  <c r="K27" i="9" s="1"/>
  <c r="J9" i="9" l="1"/>
  <c r="K9" i="9"/>
  <c r="J4" i="9"/>
  <c r="J3" i="9" s="1"/>
  <c r="K4" i="9"/>
  <c r="K3" i="9" l="1"/>
  <c r="K28" i="1"/>
  <c r="K9" i="1" l="1"/>
  <c r="K22" i="1" l="1"/>
  <c r="K13" i="1" l="1"/>
  <c r="K18" i="1" l="1"/>
  <c r="K4" i="1"/>
  <c r="K33" i="1" s="1"/>
  <c r="K17" i="1" l="1"/>
  <c r="K3" i="1"/>
  <c r="K34" i="1" s="1"/>
  <c r="F23" i="10" l="1"/>
  <c r="J54" i="8" l="1"/>
  <c r="J63" i="8" l="1"/>
  <c r="G23" i="10" l="1"/>
  <c r="L21" i="5" l="1"/>
  <c r="L14" i="5"/>
  <c r="L9" i="5"/>
  <c r="L20" i="5" l="1"/>
  <c r="L19" i="5" s="1"/>
  <c r="J22" i="9" l="1"/>
  <c r="J18" i="9"/>
  <c r="O39" i="4"/>
  <c r="O40" i="4"/>
  <c r="O41" i="4"/>
  <c r="O43" i="4"/>
  <c r="J17" i="9" l="1"/>
  <c r="O16" i="4"/>
  <c r="O8" i="4"/>
  <c r="O3" i="4"/>
  <c r="J32" i="9" l="1"/>
  <c r="J28" i="9"/>
  <c r="J29" i="8"/>
  <c r="J27" i="9" l="1"/>
  <c r="J140" i="8"/>
  <c r="J141" i="8"/>
  <c r="J41" i="9" l="1"/>
  <c r="J49" i="9"/>
  <c r="J37" i="9"/>
  <c r="J28" i="1" l="1"/>
  <c r="J9" i="1" l="1"/>
  <c r="J5" i="1" l="1"/>
  <c r="J4" i="1" s="1"/>
  <c r="J13" i="1"/>
  <c r="J22" i="1"/>
  <c r="J18" i="1"/>
  <c r="J17" i="1" l="1"/>
  <c r="J33" i="1"/>
  <c r="J3" i="1"/>
  <c r="J34" i="1" s="1"/>
  <c r="J23" i="8"/>
  <c r="J25" i="8" s="1"/>
  <c r="J24" i="8"/>
  <c r="J26" i="8" s="1"/>
  <c r="J19" i="8"/>
  <c r="J22" i="8" s="1"/>
  <c r="J18" i="8" l="1"/>
  <c r="J3" i="8"/>
  <c r="J52" i="8" l="1"/>
  <c r="J120" i="8" l="1"/>
  <c r="J133" i="8" s="1"/>
  <c r="J114" i="8"/>
  <c r="J71" i="8"/>
  <c r="J73" i="8"/>
  <c r="J80" i="8" s="1"/>
  <c r="J93" i="8"/>
  <c r="J103" i="8" s="1"/>
  <c r="J42" i="8"/>
  <c r="J43" i="8"/>
  <c r="J87" i="8" s="1"/>
  <c r="J44" i="8"/>
  <c r="J88" i="8" s="1"/>
  <c r="J111" i="8" l="1"/>
  <c r="J110" i="8"/>
  <c r="J109" i="8"/>
  <c r="J86" i="8"/>
  <c r="J34" i="8"/>
  <c r="J28" i="8" l="1"/>
  <c r="K41" i="8" s="1"/>
  <c r="K9" i="5"/>
  <c r="J9" i="5"/>
  <c r="I9" i="5"/>
  <c r="H9" i="5"/>
  <c r="G9" i="5"/>
  <c r="K85" i="8" l="1"/>
  <c r="K108" i="8"/>
  <c r="K21" i="5"/>
  <c r="J21" i="5"/>
  <c r="I21" i="5"/>
  <c r="H21" i="5"/>
  <c r="K20" i="5"/>
  <c r="J20" i="5"/>
  <c r="I20" i="5"/>
  <c r="H20" i="5"/>
  <c r="H19" i="5" s="1"/>
  <c r="K19" i="5"/>
  <c r="J19" i="5"/>
  <c r="K14" i="5"/>
  <c r="J14" i="5"/>
  <c r="I14" i="5"/>
  <c r="H1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41" i="8"/>
  <c r="H141" i="8"/>
  <c r="I140" i="8"/>
  <c r="I120" i="8"/>
  <c r="I133" i="8" s="1"/>
  <c r="H120" i="8"/>
  <c r="H133" i="8" s="1"/>
  <c r="G120" i="8"/>
  <c r="G133" i="8" s="1"/>
  <c r="F120" i="8"/>
  <c r="F133" i="8" s="1"/>
  <c r="E120" i="8"/>
  <c r="E133" i="8" s="1"/>
  <c r="D120" i="8"/>
  <c r="I114" i="8"/>
  <c r="H114" i="8"/>
  <c r="G114" i="8"/>
  <c r="F114" i="8"/>
  <c r="E114" i="8"/>
  <c r="D114" i="8"/>
  <c r="I93" i="8"/>
  <c r="H93" i="8"/>
  <c r="H103" i="8" s="1"/>
  <c r="G93" i="8"/>
  <c r="G103" i="8" s="1"/>
  <c r="F93" i="8"/>
  <c r="F103" i="8" s="1"/>
  <c r="E93" i="8"/>
  <c r="E103" i="8" s="1"/>
  <c r="D93" i="8"/>
  <c r="D103" i="8" s="1"/>
  <c r="I63" i="8"/>
  <c r="I80" i="8" s="1"/>
  <c r="H63" i="8"/>
  <c r="H80" i="8" s="1"/>
  <c r="G63" i="8"/>
  <c r="G80" i="8" s="1"/>
  <c r="F63" i="8"/>
  <c r="E63" i="8"/>
  <c r="E80" i="8" s="1"/>
  <c r="D63" i="8"/>
  <c r="D85" i="8" s="1"/>
  <c r="H140" i="8"/>
  <c r="I52" i="8"/>
  <c r="H52" i="8"/>
  <c r="G52" i="8"/>
  <c r="F52" i="8"/>
  <c r="E52" i="8"/>
  <c r="D52" i="8"/>
  <c r="I44" i="8"/>
  <c r="I111" i="8" s="1"/>
  <c r="H44" i="8"/>
  <c r="H111" i="8" s="1"/>
  <c r="G44" i="8"/>
  <c r="G88" i="8" s="1"/>
  <c r="F44" i="8"/>
  <c r="F88" i="8" s="1"/>
  <c r="E44" i="8"/>
  <c r="E88" i="8" s="1"/>
  <c r="I43" i="8"/>
  <c r="I87" i="8" s="1"/>
  <c r="H43" i="8"/>
  <c r="H110" i="8" s="1"/>
  <c r="G43" i="8"/>
  <c r="G87" i="8" s="1"/>
  <c r="F43" i="8"/>
  <c r="F87" i="8" s="1"/>
  <c r="E43" i="8"/>
  <c r="E87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D18" i="9"/>
  <c r="I9" i="9"/>
  <c r="H9" i="9"/>
  <c r="G9" i="9"/>
  <c r="F9" i="9"/>
  <c r="E9" i="9"/>
  <c r="D9" i="9"/>
  <c r="I4" i="9"/>
  <c r="H4" i="9"/>
  <c r="G4" i="9"/>
  <c r="F4" i="9"/>
  <c r="E4" i="9"/>
  <c r="D4" i="9"/>
  <c r="I28" i="1"/>
  <c r="H28" i="1"/>
  <c r="G28" i="1"/>
  <c r="F28" i="1"/>
  <c r="E28" i="1"/>
  <c r="D28" i="1"/>
  <c r="I22" i="1"/>
  <c r="H22" i="1"/>
  <c r="G22" i="1"/>
  <c r="F22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E17" i="9" l="1"/>
  <c r="I27" i="9"/>
  <c r="I17" i="1"/>
  <c r="F17" i="1"/>
  <c r="G17" i="1"/>
  <c r="D4" i="1"/>
  <c r="D33" i="1" s="1"/>
  <c r="I19" i="5"/>
  <c r="F17" i="9"/>
  <c r="G4" i="1"/>
  <c r="G33" i="1" s="1"/>
  <c r="H17" i="9"/>
  <c r="F27" i="9"/>
  <c r="E3" i="9"/>
  <c r="D3" i="9"/>
  <c r="H3" i="9"/>
  <c r="D17" i="9"/>
  <c r="G27" i="9"/>
  <c r="F28" i="8"/>
  <c r="F41" i="8" s="1"/>
  <c r="F85" i="8" s="1"/>
  <c r="H28" i="8"/>
  <c r="I3" i="9"/>
  <c r="I28" i="8"/>
  <c r="J41" i="8" s="1"/>
  <c r="G28" i="8"/>
  <c r="G86" i="8"/>
  <c r="G17" i="9"/>
  <c r="E27" i="9"/>
  <c r="H86" i="8"/>
  <c r="F4" i="1"/>
  <c r="F33" i="1" s="1"/>
  <c r="F3" i="9"/>
  <c r="D80" i="8"/>
  <c r="D27" i="9"/>
  <c r="H27" i="9"/>
  <c r="H109" i="8"/>
  <c r="E4" i="1"/>
  <c r="E33" i="1" s="1"/>
  <c r="E17" i="1"/>
  <c r="G3" i="9"/>
  <c r="E86" i="8"/>
  <c r="I86" i="8"/>
  <c r="E85" i="8"/>
  <c r="I18" i="8"/>
  <c r="H87" i="8"/>
  <c r="E108" i="8"/>
  <c r="I110" i="8"/>
  <c r="H4" i="1"/>
  <c r="I4" i="1"/>
  <c r="D17" i="1"/>
  <c r="F80" i="8"/>
  <c r="F86" i="8" s="1"/>
  <c r="I88" i="8"/>
  <c r="I103" i="8"/>
  <c r="I109" i="8" s="1"/>
  <c r="D108" i="8"/>
  <c r="H88" i="8"/>
  <c r="G41" i="8" l="1"/>
  <c r="G85" i="8" s="1"/>
  <c r="D3" i="1"/>
  <c r="G3" i="1"/>
  <c r="F3" i="1"/>
  <c r="J85" i="8"/>
  <c r="J108" i="8"/>
  <c r="I41" i="8"/>
  <c r="I108" i="8" s="1"/>
  <c r="H41" i="8"/>
  <c r="E3" i="1"/>
  <c r="F108" i="8"/>
  <c r="H3" i="1"/>
  <c r="H34" i="1" s="1"/>
  <c r="H33" i="1"/>
  <c r="I3" i="1"/>
  <c r="I33" i="1"/>
  <c r="G108" i="8" l="1"/>
  <c r="I85" i="8"/>
  <c r="H85" i="8"/>
  <c r="H108" i="8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M3" authorId="0" shapeId="0" xr:uid="{E371E798-FC4C-4D0A-B14E-9022C5BE09B5}">
      <text>
        <r>
          <rPr>
            <b/>
            <sz val="9"/>
            <color indexed="81"/>
            <rFont val="Tahoma"/>
            <family val="2"/>
          </rPr>
          <t>op basis van input van Brutélé, BT Limited, Colt Telecom, FiberKlaar, Fluvius, Lycamobile, Orange, Proximus (inclusief Scarlet en Mobile Vikings), Telenet, Vectone, Verizon, VOO 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</authors>
  <commentList>
    <comment ref="M55" authorId="0" shapeId="0" xr:uid="{0ACFB6CE-FB9A-4918-9D7B-AC1E1B887A3B}">
      <text>
        <r>
          <rPr>
            <b/>
            <sz val="9"/>
            <color indexed="81"/>
            <rFont val="Tahoma"/>
            <family val="2"/>
          </rPr>
          <t>satelliet, FWA, other not NGA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E16045E8-C781-423E-ACE0-A84EE6A5AD78}">
      <text>
        <r>
          <rPr>
            <b/>
            <sz val="9"/>
            <color indexed="81"/>
            <rFont val="Tahoma"/>
            <family val="2"/>
          </rPr>
          <t>Voo is volledig full MVNO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0" shapeId="0" xr:uid="{299A6CB4-6030-4F72-8D1A-CD953369042B}">
      <text>
        <r>
          <rPr>
            <b/>
            <sz val="9"/>
            <color indexed="81"/>
            <rFont val="Tahoma"/>
            <family val="2"/>
          </rPr>
          <t>Mobile Vikings wordt als light MVNO geteld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0" shapeId="0" xr:uid="{DF50B53D-C1C0-4520-B757-CFFD5D295263}">
      <text>
        <r>
          <rPr>
            <b/>
            <sz val="9"/>
            <color indexed="81"/>
            <rFont val="Tahoma"/>
            <family val="2"/>
          </rPr>
          <t>inclusief Lycamobile en DPGmedia vanaf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</authors>
  <commentList>
    <comment ref="O5" authorId="0" shapeId="0" xr:uid="{E7BE67B0-7A10-432E-8E4B-F9FD2652FF77}">
      <text>
        <r>
          <rPr>
            <b/>
            <sz val="9"/>
            <color indexed="81"/>
            <rFont val="Tahoma"/>
            <family val="2"/>
          </rPr>
          <t>inclusief digitaal compact signaal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<sst xmlns="http://schemas.openxmlformats.org/spreadsheetml/2006/main" count="344" uniqueCount="243">
  <si>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</si>
  <si>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</si>
  <si>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</si>
  <si>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</si>
  <si>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</si>
  <si>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</si>
  <si>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</si>
  <si>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</si>
  <si>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</si>
  <si>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</si>
  <si>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</si>
  <si>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</si>
  <si>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</si>
  <si>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</si>
  <si>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</si>
  <si>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</si>
  <si>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</si>
  <si>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</si>
  <si>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</si>
  <si>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</si>
  <si>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</si>
  <si>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</si>
  <si>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</si>
  <si>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</si>
  <si>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</si>
  <si>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</si>
  <si>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</si>
  <si>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</si>
  <si>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</si>
  <si>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</si>
  <si>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</si>
  <si>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</si>
  <si>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</si>
  <si>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</si>
  <si>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   Digitaal</t>
  </si>
  <si>
    <t xml:space="preserve">RETAIL TV-INKOMSTEN, WAARVAN : </t>
  </si>
  <si>
    <t xml:space="preserve">   Basis digitale TV-dienst,set-up box ( incl auteursrechten)</t>
  </si>
  <si>
    <t xml:space="preserve">   Digitale TV : andere diensten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</si>
  <si>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</si>
  <si>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</si>
  <si>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</si>
  <si>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</si>
  <si>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</si>
  <si>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</si>
  <si>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</si>
  <si>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</si>
  <si>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</si>
  <si>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</si>
  <si>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</si>
  <si>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</si>
  <si>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</si>
  <si>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</si>
  <si>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gigabytes/maand</t>
  </si>
  <si>
    <t xml:space="preserve">   Gemiddeld actieve simkaarten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</si>
  <si>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</si>
  <si>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</si>
  <si>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</si>
  <si>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</si>
  <si>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</si>
  <si>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</si>
  <si>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</si>
  <si>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</si>
  <si>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</si>
  <si>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</si>
  <si>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</si>
  <si>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</si>
  <si>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</si>
  <si>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</si>
  <si>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</si>
  <si>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Postpaid MNO simkaarten</t>
  </si>
  <si>
    <t xml:space="preserve">      - Full MVNO simkaarten</t>
  </si>
  <si>
    <t xml:space="preserve">      - Light MVNO simkaarten</t>
  </si>
  <si>
    <t xml:space="preserve">      - MNO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</si>
  <si>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</si>
  <si>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</si>
  <si>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</si>
  <si>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</si>
  <si>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</si>
  <si>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</si>
  <si>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</si>
  <si>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</si>
  <si>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</si>
  <si>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</si>
  <si>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</si>
  <si>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</si>
  <si>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</si>
  <si>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</si>
  <si>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</si>
  <si>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</si>
  <si>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</si>
  <si>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</si>
  <si>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</si>
  <si>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</si>
  <si>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</si>
  <si>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</si>
  <si>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</si>
  <si>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</si>
  <si>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</si>
  <si>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</si>
  <si>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</si>
  <si>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</si>
  <si>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Tablet/PC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</si>
  <si>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</si>
  <si>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</si>
  <si>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</si>
  <si>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</si>
  <si>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</si>
  <si>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</si>
  <si>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</si>
  <si>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</si>
  <si>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</si>
  <si>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</si>
  <si>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</si>
  <si>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</si>
  <si>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</si>
  <si>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</si>
  <si>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LICENTIEVERGOEDINGEN</t>
  </si>
  <si>
    <t xml:space="preserve">    CAPEX OVER OMZET RATIO ( incl zuivere TV-investeringen, exclusief licentievergoedingen)</t>
  </si>
  <si>
    <t xml:space="preserve">    CAPEX OVER OMZET RATIO ( excl zuivere TV-investeringen en licentievergoedingen )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</si>
  <si>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</si>
  <si>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</si>
  <si>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</si>
  <si>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</si>
  <si>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</si>
  <si>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</si>
  <si>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</si>
  <si>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</si>
  <si>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</si>
  <si>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</si>
  <si>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</si>
  <si>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</si>
  <si>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</si>
  <si>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</si>
  <si>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</si>
  <si>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</si>
  <si>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</si>
  <si>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</si>
  <si>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</si>
  <si>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</si>
  <si>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</si>
  <si>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</si>
  <si>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  - Ander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</si>
  <si>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</si>
  <si>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</si>
  <si>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</si>
  <si>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</si>
  <si>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</si>
  <si>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</si>
  <si>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>Retail ARPU residentieel (exclusief interconnectie)</t>
  </si>
  <si>
    <t xml:space="preserve">   Actieve simkaarten  (exclusief m2m)</t>
  </si>
  <si>
    <t xml:space="preserve">   RESIDENTIEEL  </t>
  </si>
  <si>
    <t xml:space="preserve">   ZAKELIJK </t>
  </si>
  <si>
    <t xml:space="preserve">    PC/tablet datakaarten ander</t>
  </si>
  <si>
    <t>Retail ARPU digitale TV</t>
  </si>
  <si>
    <t xml:space="preserve">   Basis digitale TV-dienst, set up box ( incl auteursrechten )</t>
  </si>
  <si>
    <t xml:space="preserve">   VOLUME EINDE JAAR</t>
  </si>
  <si>
    <t xml:space="preserve">   GEMIDDELD JAARVOLUME DIGITAAL</t>
  </si>
  <si>
    <t xml:space="preserve">   - stand alone</t>
  </si>
  <si>
    <t xml:space="preserve">   - multiplay</t>
  </si>
  <si>
    <t xml:space="preserve">  TV</t>
  </si>
  <si>
    <t xml:space="preserve">  Vaste telefonie</t>
  </si>
  <si>
    <t>RETAIL ARPU  (PER ACTIEVE SIMKAART) : Orange, Proximus, Telenet incl. ex-Base</t>
  </si>
  <si>
    <t xml:space="preserve">   Volume geporteerde mobiele nummers tijdens jaar</t>
  </si>
  <si>
    <t>X-PLAY ( in termen van huishoudens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</si>
  <si>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</si>
  <si>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</si>
  <si>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</si>
  <si>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</si>
  <si>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</si>
  <si>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 Smartphone datakaarten MNO (inclusief Telenet vanaf 2017)</t>
  </si>
  <si>
    <t xml:space="preserve">    PC/tablet datakaarten MNO (inclusief Telenet vanaf 2017)</t>
  </si>
  <si>
    <t xml:space="preserve">      - Prepaid MNO simkaarten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</si>
  <si>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</si>
  <si>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</si>
  <si>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</si>
  <si>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</si>
  <si>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</si>
  <si>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</si>
  <si>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</si>
  <si>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</si>
  <si>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</si>
  <si>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</si>
  <si>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</si>
  <si>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</si>
  <si>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</si>
  <si>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</si>
  <si>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</si>
  <si>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ARPU/MAAND (RESIDENTIEEL)</t>
  </si>
  <si>
    <t xml:space="preserve">   ACTIEVE CS/CPS</t>
  </si>
  <si>
    <t>TV-AANSLUITINGEN PER GEWEST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</si>
  <si>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</si>
  <si>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</si>
  <si>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</si>
  <si>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</si>
  <si>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</si>
  <si>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</si>
  <si>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</si>
  <si>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</si>
  <si>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</si>
  <si>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</si>
  <si>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</si>
  <si>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</si>
  <si>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</si>
  <si>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</si>
  <si>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>VAST</t>
  </si>
  <si>
    <t xml:space="preserve">   Volume geporteerde vaste nummers tijdens jaar</t>
  </si>
  <si>
    <t xml:space="preserve">  % easy switch in totaal acquisities</t>
  </si>
  <si>
    <t>ACTIEVE DATASIMKAARTEN per split smartphone/PC</t>
  </si>
  <si>
    <t xml:space="preserve">      -Vast</t>
  </si>
  <si>
    <t xml:space="preserve">      -Mobiel</t>
  </si>
  <si>
    <t xml:space="preserve">      -TV</t>
  </si>
  <si>
    <t>RETAILOMZET ELEKTRONISCHE COMMUNICATIE &amp; TV (  EXCLUSIEF ANDER ), WAARVAN :</t>
  </si>
  <si>
    <t>2019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</si>
  <si>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</si>
  <si>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Churn vast breedband (bundel + stand-alone)</t>
  </si>
  <si>
    <t xml:space="preserve">  Churn vaste telefonie (bundel + stand alone)</t>
  </si>
  <si>
    <t xml:space="preserve">     &gt;= 1 Gbps</t>
  </si>
  <si>
    <t xml:space="preserve">     &gt;= 100 Mbps;&lt; 1Gbps</t>
  </si>
  <si>
    <t>2020</t>
  </si>
  <si>
    <t xml:space="preserve">  Acquisities huishoudens  ( jaar ) </t>
  </si>
  <si>
    <t xml:space="preserve">  Acquisities via Easy switch </t>
  </si>
  <si>
    <t xml:space="preserve">   Enkel analoog</t>
  </si>
  <si>
    <t>TV-AANSLUITINGEN ( exclusief satelliet, inclusief OTT TV vanaf 2020 )</t>
  </si>
  <si>
    <t xml:space="preserve">   ROAMING IN  (oproepen ontstaan op het Belgisch netwerk )</t>
  </si>
  <si>
    <t>Klantverloop</t>
  </si>
  <si>
    <t>2021</t>
  </si>
  <si>
    <t xml:space="preserve">   VASTE ACTIVA TELECOM ( EXCL ZUIVERE TV-INVESTERINGEN)</t>
  </si>
  <si>
    <t xml:space="preserve">   ZUIVERE TV-INVESTERINGEN (vaste activa, broadcasting rechten)</t>
  </si>
  <si>
    <t xml:space="preserve">   -  FTTH-FTTB + FTTO</t>
  </si>
  <si>
    <t>AANTAL RESIDENTIELE KLANTEN MET EEN BUNDEL WAARVAN :</t>
  </si>
  <si>
    <t xml:space="preserve">   Vast breedband ( Resdidentiële klanten )</t>
  </si>
  <si>
    <t>AANTAL ZAKELIJKE KLANTEN MET EEN BUNDEL</t>
  </si>
  <si>
    <t>MOBIELE INKOMSTEN ( RETAIL + WHOLESALE van Orange, Proximus, Telenet )</t>
  </si>
  <si>
    <t xml:space="preserve">ACTIEVE DATASIMKAARTEN </t>
  </si>
  <si>
    <t xml:space="preserve">           - residentieel</t>
  </si>
  <si>
    <t xml:space="preserve">           - zakelijk</t>
  </si>
  <si>
    <t>Actieve datasimkaarten MNO per type trafiek die ze genereren</t>
  </si>
  <si>
    <t xml:space="preserve">    - aantal datasimkaarten die 3G verkeer genereren</t>
  </si>
  <si>
    <t xml:space="preserve">    - 4G verkeer + 5G verkeer (vanaf 2021)</t>
  </si>
  <si>
    <t xml:space="preserve">     - datasimkaarten die 3G verkeer genereren</t>
  </si>
  <si>
    <t>INVESTERINGEN TELECOM &amp; TV, WAARVAN :</t>
  </si>
  <si>
    <t xml:space="preserve">   - aantal datasimkaarten die 4G verkeer genereren</t>
  </si>
  <si>
    <t xml:space="preserve">     - datasimkaarten die 4G en/of 5G verkeer genereren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</si>
</sst>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8" fontId="18" fillId="0" borderId="13">
      <alignment horizontal="center" vertical="center"/>
    </xf>
    <xf numFmtId="9" fontId="19" fillId="0" borderId="14">
      <alignment horizontal="left" vertical="center" indent="2"/>
    </xf>
  </cellStyleXfs>
  <cellXfs count="177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166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6" fontId="9" fillId="0" borderId="7" xfId="0" applyNumberFormat="1" applyFont="1" applyBorder="1"/>
    <xf numFmtId="0" fontId="8" fillId="0" borderId="0" xfId="0" applyFont="1" applyFill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 applyBorder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49" fontId="8" fillId="2" borderId="0" xfId="0" applyNumberFormat="1" applyFont="1" applyFill="1" applyBorder="1" applyAlignment="1">
      <alignment vertical="top"/>
    </xf>
    <xf numFmtId="3" fontId="7" fillId="0" borderId="0" xfId="0" applyNumberFormat="1" applyFont="1" applyBorder="1"/>
    <xf numFmtId="0" fontId="0" fillId="0" borderId="0" xfId="0" applyBorder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Fill="1" applyBorder="1" applyAlignment="1">
      <alignment horizontal="left"/>
    </xf>
    <xf numFmtId="4" fontId="8" fillId="0" borderId="7" xfId="0" applyNumberFormat="1" applyFont="1" applyBorder="1"/>
    <xf numFmtId="3" fontId="8" fillId="0" borderId="2" xfId="0" applyNumberFormat="1" applyFont="1" applyBorder="1"/>
    <xf numFmtId="3" fontId="14" fillId="5" borderId="0" xfId="0" applyNumberFormat="1" applyFont="1" applyFill="1"/>
    <xf numFmtId="3" fontId="8" fillId="0" borderId="0" xfId="0" applyNumberFormat="1" applyFont="1"/>
    <xf numFmtId="0" fontId="20" fillId="5" borderId="0" xfId="3" applyFont="1" applyFill="1" applyBorder="1" applyAlignment="1">
      <alignment horizontal="left"/>
    </xf>
    <xf numFmtId="166" fontId="8" fillId="0" borderId="7" xfId="4" applyNumberFormat="1" applyFont="1" applyBorder="1"/>
    <xf numFmtId="166" fontId="8" fillId="2" borderId="7" xfId="0" applyNumberFormat="1" applyFont="1" applyFill="1" applyBorder="1"/>
    <xf numFmtId="3" fontId="22" fillId="2" borderId="6" xfId="0" applyNumberFormat="1" applyFont="1" applyFill="1" applyBorder="1"/>
    <xf numFmtId="3" fontId="22" fillId="0" borderId="7" xfId="0" applyNumberFormat="1" applyFont="1" applyBorder="1"/>
    <xf numFmtId="3" fontId="10" fillId="2" borderId="3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left"/>
    </xf>
    <xf numFmtId="3" fontId="9" fillId="2" borderId="5" xfId="0" applyNumberFormat="1" applyFont="1" applyFill="1" applyBorder="1" applyAlignment="1">
      <alignment horizontal="left"/>
    </xf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12" fillId="2" borderId="7" xfId="0" applyNumberFormat="1" applyFont="1" applyFill="1" applyBorder="1"/>
    <xf numFmtId="165" fontId="9" fillId="2" borderId="7" xfId="1" applyNumberFormat="1" applyFont="1" applyFill="1" applyBorder="1"/>
    <xf numFmtId="3" fontId="14" fillId="5" borderId="0" xfId="0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2" borderId="7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/>
    </xf>
    <xf numFmtId="3" fontId="22" fillId="2" borderId="7" xfId="0" applyNumberFormat="1" applyFont="1" applyFill="1" applyBorder="1"/>
    <xf numFmtId="0" fontId="22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3" fontId="22" fillId="2" borderId="10" xfId="0" applyNumberFormat="1" applyFont="1" applyFill="1" applyBorder="1"/>
    <xf numFmtId="3" fontId="22" fillId="2" borderId="3" xfId="0" applyNumberFormat="1" applyFont="1" applyFill="1" applyBorder="1"/>
    <xf numFmtId="3" fontId="22" fillId="2" borderId="5" xfId="0" applyNumberFormat="1" applyFont="1" applyFill="1" applyBorder="1"/>
    <xf numFmtId="3" fontId="22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6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3" fontId="24" fillId="0" borderId="7" xfId="0" applyNumberFormat="1" applyFont="1" applyBorder="1"/>
    <xf numFmtId="3" fontId="14" fillId="5" borderId="8" xfId="0" applyNumberFormat="1" applyFont="1" applyFill="1" applyBorder="1"/>
    <xf numFmtId="3" fontId="22" fillId="0" borderId="6" xfId="0" applyNumberFormat="1" applyFont="1" applyBorder="1"/>
    <xf numFmtId="0" fontId="22" fillId="0" borderId="1" xfId="0" applyFont="1" applyBorder="1" applyAlignment="1">
      <alignment horizontal="left"/>
    </xf>
    <xf numFmtId="167" fontId="22" fillId="0" borderId="7" xfId="0" applyNumberFormat="1" applyFont="1" applyBorder="1"/>
    <xf numFmtId="166" fontId="22" fillId="0" borderId="7" xfId="0" applyNumberFormat="1" applyFont="1" applyBorder="1"/>
    <xf numFmtId="0" fontId="22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3" fontId="22" fillId="2" borderId="0" xfId="0" applyNumberFormat="1" applyFont="1" applyFill="1" applyBorder="1"/>
    <xf numFmtId="3" fontId="22" fillId="2" borderId="2" xfId="0" applyNumberFormat="1" applyFont="1" applyFill="1" applyBorder="1"/>
    <xf numFmtId="3" fontId="22" fillId="2" borderId="0" xfId="0" applyNumberFormat="1" applyFont="1" applyFill="1"/>
    <xf numFmtId="4" fontId="14" fillId="5" borderId="7" xfId="0" applyNumberFormat="1" applyFont="1" applyFill="1" applyBorder="1"/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 applyBorder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9" fontId="9" fillId="2" borderId="7" xfId="1" applyNumberFormat="1" applyFont="1" applyFill="1" applyBorder="1"/>
    <xf numFmtId="0" fontId="25" fillId="7" borderId="0" xfId="0" applyFont="1" applyFill="1"/>
    <xf numFmtId="0" fontId="0" fillId="7" borderId="0" xfId="0" applyFill="1"/>
    <xf numFmtId="166" fontId="0" fillId="0" borderId="0" xfId="0" applyNumberFormat="1"/>
    <xf numFmtId="165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2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2" fillId="2" borderId="7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0" xfId="0" applyNumberFormat="1" applyFont="1" applyBorder="1"/>
    <xf numFmtId="165" fontId="12" fillId="2" borderId="0" xfId="1" applyNumberFormat="1" applyFont="1" applyFill="1" applyBorder="1"/>
    <xf numFmtId="4" fontId="7" fillId="0" borderId="0" xfId="0" applyNumberFormat="1" applyFont="1" applyBorder="1"/>
    <xf numFmtId="49" fontId="7" fillId="0" borderId="0" xfId="0" applyNumberFormat="1" applyFont="1" applyBorder="1"/>
    <xf numFmtId="165" fontId="22" fillId="0" borderId="0" xfId="1" applyNumberFormat="1" applyFont="1" applyFill="1" applyBorder="1"/>
    <xf numFmtId="9" fontId="15" fillId="0" borderId="0" xfId="1" applyFont="1"/>
    <xf numFmtId="9" fontId="0" fillId="0" borderId="0" xfId="0" applyNumberForma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1" fillId="5" borderId="5" xfId="0" applyFont="1" applyFill="1" applyBorder="1" applyAlignment="1">
      <alignment horizontal="left" wrapText="1"/>
    </xf>
  </cellXfs>
  <cellStyles count="9"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Lien hypertexte" xfId="3" builtinId="8"/>
    <cellStyle name="Milliers" xfId="4" builtinId="3"/>
    <cellStyle name="Normal" xfId="0" builtinId="0"/>
    <cellStyle name="Pourcentage" xfId="1" builtinId="5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workingspace.bipt.local/Private/Recente%20versies%20berekeningen/Toegang%20vast%20telefoonnetwerk_versie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k"/>
      <sheetName val="data"/>
      <sheetName val="data_S2_2005"/>
      <sheetName val="data_S1_2006"/>
      <sheetName val="data_S2_2006"/>
      <sheetName val="data_2007"/>
      <sheetName val="data_2008"/>
      <sheetName val="data_2009"/>
      <sheetName val="data_2010"/>
      <sheetName val="data_2011"/>
      <sheetName val="data_2012"/>
      <sheetName val="data_2013"/>
      <sheetName val="data_2014"/>
      <sheetName val="data_2015"/>
      <sheetName val="data_2016"/>
      <sheetName val="data_2017"/>
      <sheetName val="data_2018"/>
      <sheetName val="data_2019"/>
      <sheetName val="data_2020"/>
      <sheetName val="OESO"/>
      <sheetName val="Eurostat"/>
      <sheetName val="EC"/>
      <sheetName val="structured data"/>
      <sheetName val="data for graph"/>
      <sheetName val="opendata"/>
      <sheetName val="graph -&gt;"/>
      <sheetName val="totaal alle aansluitingen"/>
      <sheetName val="residentiële markt"/>
      <sheetName val="professionele markt"/>
      <sheetName val="Laagcapacitair"/>
      <sheetName val="Hoogcapacitair ISDN-30"/>
      <sheetName val="C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98">
          <cell r="AC298">
            <v>166643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tabSelected="1" workbookViewId="0">
      <selection activeCell="B13" sqref="B13:C13"/>
    </sheetView>
  </sheetViews>
  <sheetFormatPr baseColWidth="10" defaultColWidth="9.140625" defaultRowHeight="15" x14ac:dyDescent="0.25"/>
  <cols>
    <col min="1" max="1" width="9.140625" style="155"/>
    <col min="2" max="2" width="12.85546875" style="155" customWidth="1"/>
    <col min="3" max="3" width="30" style="155" customWidth="1"/>
    <col min="4" max="16384" width="9.140625" style="155"/>
  </cols>
  <sheetData>
    <row r="2" spans="1:3" ht="25.5" x14ac:dyDescent="0.35">
      <c r="A2" s="154" t="s">
        <v>0</v>
      </c>
    </row>
    <row r="5" spans="1:3" ht="23.25" x14ac:dyDescent="0.35">
      <c r="B5" s="173" t="s">
        <v>1</v>
      </c>
      <c r="C5" s="174"/>
    </row>
    <row r="6" spans="1:3" ht="12.75" customHeight="1" x14ac:dyDescent="0.25"/>
    <row r="7" spans="1:3" ht="23.25" x14ac:dyDescent="0.35">
      <c r="B7" s="173" t="s">
        <v>143</v>
      </c>
      <c r="C7" s="174"/>
    </row>
    <row r="9" spans="1:3" ht="23.25" x14ac:dyDescent="0.35">
      <c r="B9" s="173" t="s">
        <v>2</v>
      </c>
      <c r="C9" s="174"/>
    </row>
    <row r="11" spans="1:3" ht="23.25" x14ac:dyDescent="0.35">
      <c r="B11" s="173" t="s">
        <v>3</v>
      </c>
      <c r="C11" s="174"/>
    </row>
    <row r="13" spans="1:3" ht="23.25" x14ac:dyDescent="0.35">
      <c r="B13" s="173" t="s">
        <v>4</v>
      </c>
      <c r="C13" s="174"/>
    </row>
    <row r="15" spans="1:3" ht="23.25" x14ac:dyDescent="0.35">
      <c r="B15" s="173" t="s">
        <v>224</v>
      </c>
      <c r="C15" s="174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Klantverloop!A1" display="Klantverloop" xr:uid="{8D37DAE4-18D0-4641-A398-3DC4F861A94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35"/>
  <sheetViews>
    <sheetView showGridLines="0" zoomScale="75" zoomScaleNormal="75" workbookViewId="0">
      <pane xSplit="3" topLeftCell="F1" activePane="topRight" state="frozen"/>
      <selection pane="topRight" activeCell="N29" sqref="N29"/>
    </sheetView>
  </sheetViews>
  <sheetFormatPr baseColWidth="10" defaultColWidth="9.140625" defaultRowHeight="12.75" x14ac:dyDescent="0.2"/>
  <cols>
    <col min="1" max="1" width="23.7109375" style="66" customWidth="1"/>
    <col min="2" max="2" width="77.42578125" style="66" customWidth="1"/>
    <col min="3" max="3" width="14.85546875" style="66" bestFit="1" customWidth="1"/>
    <col min="4" max="12" width="17.7109375" style="66" customWidth="1"/>
    <col min="13" max="13" width="16.7109375" style="66" customWidth="1"/>
    <col min="14" max="14" width="12.5703125" style="66" bestFit="1" customWidth="1"/>
    <col min="15" max="15" width="12.5703125" style="66" customWidth="1"/>
    <col min="16" max="16" width="6.28515625" style="66" customWidth="1"/>
    <col min="17" max="17" width="11.42578125" style="66" customWidth="1"/>
    <col min="18" max="18" width="15.140625" style="66" bestFit="1" customWidth="1"/>
    <col min="19" max="19" width="14.140625" style="66" customWidth="1"/>
    <col min="20" max="20" width="12.5703125" style="66" bestFit="1" customWidth="1"/>
    <col min="21" max="16384" width="9.140625" style="66"/>
  </cols>
  <sheetData>
    <row r="1" spans="1:22" ht="28.5" customHeight="1" x14ac:dyDescent="0.35">
      <c r="A1" s="97" t="s">
        <v>180</v>
      </c>
      <c r="B1" s="69"/>
      <c r="C1" s="81"/>
      <c r="D1" s="65">
        <v>2012</v>
      </c>
      <c r="E1" s="65">
        <v>2013</v>
      </c>
      <c r="F1" s="65">
        <v>2014</v>
      </c>
      <c r="G1" s="65">
        <v>2015</v>
      </c>
      <c r="H1" s="65">
        <v>2016</v>
      </c>
      <c r="I1" s="65">
        <v>2017</v>
      </c>
      <c r="J1" s="65" t="s">
        <v>196</v>
      </c>
      <c r="K1" s="65">
        <v>2019</v>
      </c>
      <c r="L1" s="65" t="s">
        <v>218</v>
      </c>
      <c r="M1" s="65" t="s">
        <v>225</v>
      </c>
    </row>
    <row r="2" spans="1:22" ht="11.25" customHeight="1" x14ac:dyDescent="0.35">
      <c r="A2" s="69"/>
      <c r="B2" s="69"/>
      <c r="C2" s="81"/>
      <c r="D2" s="65"/>
      <c r="E2" s="65"/>
      <c r="F2" s="65"/>
      <c r="G2" s="65"/>
      <c r="H2" s="65"/>
      <c r="I2" s="65"/>
      <c r="J2" s="65"/>
    </row>
    <row r="3" spans="1:22" x14ac:dyDescent="0.2">
      <c r="A3" s="95" t="s">
        <v>6</v>
      </c>
      <c r="B3" s="95"/>
      <c r="C3" s="95" t="s">
        <v>213</v>
      </c>
      <c r="D3" s="95">
        <f t="shared" ref="D3:L3" si="0">D4+D13</f>
        <v>8606839.29925883</v>
      </c>
      <c r="E3" s="95">
        <f t="shared" si="0"/>
        <v>8256657.3173090182</v>
      </c>
      <c r="F3" s="95">
        <f t="shared" si="0"/>
        <v>8094511.4054799546</v>
      </c>
      <c r="G3" s="95">
        <f t="shared" si="0"/>
        <v>8281221.6345079038</v>
      </c>
      <c r="H3" s="95">
        <f t="shared" si="0"/>
        <v>8400831.3161134329</v>
      </c>
      <c r="I3" s="95">
        <f t="shared" si="0"/>
        <v>8432872.1455588304</v>
      </c>
      <c r="J3" s="95">
        <f t="shared" si="0"/>
        <v>8488748.5837933756</v>
      </c>
      <c r="K3" s="158">
        <f t="shared" si="0"/>
        <v>8529833.5819879603</v>
      </c>
      <c r="L3" s="158">
        <f t="shared" si="0"/>
        <v>8362787.6140662972</v>
      </c>
      <c r="M3" s="158">
        <f t="shared" ref="M3" si="1">M4+M13</f>
        <v>8357671.3750625337</v>
      </c>
      <c r="O3" s="82"/>
      <c r="R3" s="169"/>
      <c r="S3" s="169"/>
      <c r="T3" s="169"/>
    </row>
    <row r="4" spans="1:22" s="18" customFormat="1" x14ac:dyDescent="0.2">
      <c r="A4" s="100" t="s">
        <v>104</v>
      </c>
      <c r="B4" s="125"/>
      <c r="C4" s="126"/>
      <c r="D4" s="100">
        <f t="shared" ref="D4:L4" si="2">D5+D9</f>
        <v>7598940.6141028851</v>
      </c>
      <c r="E4" s="100">
        <f t="shared" si="2"/>
        <v>7179393.0613190187</v>
      </c>
      <c r="F4" s="100">
        <f t="shared" si="2"/>
        <v>7039056.3593199551</v>
      </c>
      <c r="G4" s="100">
        <f t="shared" si="2"/>
        <v>7180978.5430345442</v>
      </c>
      <c r="H4" s="100">
        <f t="shared" si="2"/>
        <v>7244655.5813934309</v>
      </c>
      <c r="I4" s="100">
        <f t="shared" si="2"/>
        <v>7222093.4887488279</v>
      </c>
      <c r="J4" s="100">
        <f t="shared" si="2"/>
        <v>7260708.4120929725</v>
      </c>
      <c r="K4" s="159">
        <f t="shared" si="2"/>
        <v>7280569.9519308582</v>
      </c>
      <c r="L4" s="159">
        <f t="shared" si="2"/>
        <v>7151577.8999862969</v>
      </c>
      <c r="M4" s="159">
        <f t="shared" ref="M4" si="3">M5+M9</f>
        <v>7154525.2268669335</v>
      </c>
      <c r="N4" s="66"/>
      <c r="O4" s="66"/>
      <c r="P4" s="66"/>
      <c r="Q4" s="66"/>
      <c r="R4" s="66"/>
      <c r="S4" s="66"/>
      <c r="T4" s="66"/>
      <c r="U4" s="66"/>
      <c r="V4" s="167"/>
    </row>
    <row r="5" spans="1:22" x14ac:dyDescent="0.2">
      <c r="A5" s="44" t="s">
        <v>105</v>
      </c>
      <c r="B5" s="60"/>
      <c r="C5" s="77"/>
      <c r="D5" s="8">
        <f t="shared" ref="D5:J5" si="4">SUM(D6:D8)</f>
        <v>6280055.0988865625</v>
      </c>
      <c r="E5" s="8">
        <f t="shared" si="4"/>
        <v>6153727.0511224167</v>
      </c>
      <c r="F5" s="8">
        <f t="shared" si="4"/>
        <v>6087987.2807402415</v>
      </c>
      <c r="G5" s="8">
        <f t="shared" si="4"/>
        <v>6007136.9125061147</v>
      </c>
      <c r="H5" s="8">
        <f t="shared" si="4"/>
        <v>6083603.2888534311</v>
      </c>
      <c r="I5" s="8">
        <f t="shared" si="4"/>
        <v>6079224.6201388277</v>
      </c>
      <c r="J5" s="8">
        <f t="shared" si="4"/>
        <v>6111931.7881469727</v>
      </c>
      <c r="K5" s="160">
        <v>6201384.0521063255</v>
      </c>
      <c r="L5" s="160">
        <f t="shared" ref="L5:M5" si="5">SUM(L6:L8)</f>
        <v>6210276.6120902812</v>
      </c>
      <c r="M5" s="160">
        <f t="shared" si="5"/>
        <v>6263925.3905425332</v>
      </c>
      <c r="O5" s="82"/>
      <c r="V5" s="167"/>
    </row>
    <row r="6" spans="1:22" x14ac:dyDescent="0.2">
      <c r="A6" s="6" t="s">
        <v>106</v>
      </c>
      <c r="B6" s="61"/>
      <c r="C6" s="78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2718711.1905113608</v>
      </c>
      <c r="K6" s="161">
        <v>2823593.4963724283</v>
      </c>
      <c r="L6" s="161">
        <v>2731851.056817696</v>
      </c>
      <c r="M6" s="161">
        <v>2786417.0895401095</v>
      </c>
      <c r="O6" s="82"/>
      <c r="Q6" s="82"/>
      <c r="V6" s="167"/>
    </row>
    <row r="7" spans="1:22" x14ac:dyDescent="0.2">
      <c r="A7" s="6" t="s">
        <v>107</v>
      </c>
      <c r="B7" s="61"/>
      <c r="C7" s="78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161">
        <v>3343039.3888938972</v>
      </c>
      <c r="L7" s="161">
        <v>3437836.1609325856</v>
      </c>
      <c r="M7" s="161">
        <v>3438837.5311624231</v>
      </c>
      <c r="O7" s="82"/>
      <c r="P7" s="82"/>
      <c r="Q7" s="82"/>
      <c r="R7" s="82"/>
      <c r="S7" s="82"/>
      <c r="V7" s="167"/>
    </row>
    <row r="8" spans="1:22" x14ac:dyDescent="0.2">
      <c r="A8" s="6" t="s">
        <v>5</v>
      </c>
      <c r="B8" s="61"/>
      <c r="C8" s="78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161">
        <v>34751.166839999998</v>
      </c>
      <c r="L8" s="161">
        <v>40589.394339999999</v>
      </c>
      <c r="M8" s="161">
        <v>38670.769840000001</v>
      </c>
      <c r="O8" s="82"/>
      <c r="P8" s="82"/>
      <c r="Q8" s="83"/>
      <c r="R8" s="83"/>
      <c r="S8" s="83"/>
      <c r="V8" s="167"/>
    </row>
    <row r="9" spans="1:22" x14ac:dyDescent="0.2">
      <c r="A9" s="9" t="s">
        <v>113</v>
      </c>
      <c r="B9" s="62"/>
      <c r="C9" s="79"/>
      <c r="D9" s="7">
        <f t="shared" ref="D9:L9" si="6">D10+D11+D12</f>
        <v>1318885.5152163222</v>
      </c>
      <c r="E9" s="7">
        <f t="shared" si="6"/>
        <v>1025666.0101966021</v>
      </c>
      <c r="F9" s="7">
        <f t="shared" si="6"/>
        <v>951069.07857971312</v>
      </c>
      <c r="G9" s="7">
        <f t="shared" si="6"/>
        <v>1173841.6305284298</v>
      </c>
      <c r="H9" s="7">
        <f t="shared" si="6"/>
        <v>1161052.2925399998</v>
      </c>
      <c r="I9" s="7">
        <f t="shared" si="6"/>
        <v>1142868.8686100002</v>
      </c>
      <c r="J9" s="7">
        <f t="shared" si="6"/>
        <v>1148776.6239459997</v>
      </c>
      <c r="K9" s="162">
        <f t="shared" si="6"/>
        <v>1079185.8998245322</v>
      </c>
      <c r="L9" s="162">
        <f t="shared" si="6"/>
        <v>941301.28789601603</v>
      </c>
      <c r="M9" s="162">
        <f t="shared" ref="M9" si="7">M10+M11+M12</f>
        <v>890599.83632439992</v>
      </c>
      <c r="N9" s="82"/>
      <c r="O9" s="82"/>
      <c r="P9" s="82"/>
      <c r="V9" s="167"/>
    </row>
    <row r="10" spans="1:22" x14ac:dyDescent="0.2">
      <c r="A10" s="6" t="s">
        <v>106</v>
      </c>
      <c r="B10" s="61"/>
      <c r="C10" s="78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877852.91970999958</v>
      </c>
      <c r="K10" s="161">
        <v>832516.10086357745</v>
      </c>
      <c r="L10" s="161">
        <v>683368.81014601607</v>
      </c>
      <c r="M10" s="161">
        <v>611091.63888999994</v>
      </c>
      <c r="O10" s="82"/>
      <c r="P10" s="82"/>
      <c r="V10" s="167"/>
    </row>
    <row r="11" spans="1:22" x14ac:dyDescent="0.2">
      <c r="A11" s="6" t="s">
        <v>108</v>
      </c>
      <c r="B11" s="61"/>
      <c r="C11" s="78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258053.00623599999</v>
      </c>
      <c r="K11" s="161">
        <v>235372.92796095466</v>
      </c>
      <c r="L11" s="161">
        <v>246697.73131</v>
      </c>
      <c r="M11" s="161">
        <v>267839.81963440002</v>
      </c>
      <c r="O11" s="82"/>
      <c r="P11" s="82"/>
      <c r="V11" s="167"/>
    </row>
    <row r="12" spans="1:22" x14ac:dyDescent="0.2">
      <c r="A12" s="6" t="s">
        <v>109</v>
      </c>
      <c r="B12" s="61"/>
      <c r="C12" s="78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161">
        <v>11296.870999999999</v>
      </c>
      <c r="L12" s="161">
        <v>11234.746440000001</v>
      </c>
      <c r="M12" s="161">
        <v>11668.3778</v>
      </c>
      <c r="O12" s="82"/>
      <c r="P12" s="82"/>
      <c r="V12" s="167"/>
    </row>
    <row r="13" spans="1:22" x14ac:dyDescent="0.2">
      <c r="A13" s="122" t="s">
        <v>110</v>
      </c>
      <c r="B13" s="127"/>
      <c r="C13" s="128"/>
      <c r="D13" s="122">
        <f t="shared" ref="D13:L13" si="8">D14+D15</f>
        <v>1007898.6851559449</v>
      </c>
      <c r="E13" s="122">
        <f t="shared" si="8"/>
        <v>1077264.25599</v>
      </c>
      <c r="F13" s="122">
        <f t="shared" si="8"/>
        <v>1055455.0461599999</v>
      </c>
      <c r="G13" s="122">
        <f t="shared" si="8"/>
        <v>1100243.0914733598</v>
      </c>
      <c r="H13" s="122">
        <f t="shared" si="8"/>
        <v>1156175.7347200019</v>
      </c>
      <c r="I13" s="122">
        <f t="shared" si="8"/>
        <v>1210778.6568100029</v>
      </c>
      <c r="J13" s="122">
        <f t="shared" si="8"/>
        <v>1228040.1717004029</v>
      </c>
      <c r="K13" s="163">
        <f t="shared" si="8"/>
        <v>1249263.6300571016</v>
      </c>
      <c r="L13" s="163">
        <f t="shared" si="8"/>
        <v>1211209.7140799998</v>
      </c>
      <c r="M13" s="163">
        <f t="shared" ref="M13" si="9">M14+M15</f>
        <v>1203146.1481956001</v>
      </c>
      <c r="N13" s="82"/>
      <c r="O13" s="82"/>
      <c r="P13" s="82"/>
      <c r="V13" s="167"/>
    </row>
    <row r="14" spans="1:22" x14ac:dyDescent="0.2">
      <c r="A14" s="44" t="s">
        <v>111</v>
      </c>
      <c r="B14" s="60"/>
      <c r="C14" s="77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162">
        <v>1229730.8166300016</v>
      </c>
      <c r="L14" s="162">
        <v>1183000.5006399998</v>
      </c>
      <c r="M14" s="162">
        <v>1180073.0136000002</v>
      </c>
      <c r="O14" s="82"/>
      <c r="P14" s="82"/>
      <c r="Q14" s="83"/>
      <c r="R14" s="83"/>
      <c r="S14" s="83"/>
    </row>
    <row r="15" spans="1:22" x14ac:dyDescent="0.2">
      <c r="A15" s="44" t="s">
        <v>112</v>
      </c>
      <c r="B15" s="60"/>
      <c r="C15" s="77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16624.1696104</v>
      </c>
      <c r="K15" s="162">
        <v>19532.813427099998</v>
      </c>
      <c r="L15" s="162">
        <v>28209.21344</v>
      </c>
      <c r="M15" s="162">
        <v>23073.1345956</v>
      </c>
      <c r="O15" s="82"/>
      <c r="P15" s="82"/>
      <c r="Q15" s="83"/>
      <c r="R15" s="83"/>
      <c r="S15" s="83"/>
    </row>
    <row r="16" spans="1:22" x14ac:dyDescent="0.2">
      <c r="A16" s="28"/>
      <c r="B16" s="59"/>
      <c r="C16" s="85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8" x14ac:dyDescent="0.2">
      <c r="A17" s="95" t="s">
        <v>211</v>
      </c>
      <c r="B17" s="95"/>
      <c r="C17" s="95" t="s">
        <v>12</v>
      </c>
      <c r="D17" s="95">
        <f>D5-D8</f>
        <v>6191491.3805085625</v>
      </c>
      <c r="E17" s="95">
        <f>E5-E8</f>
        <v>6075454.802072417</v>
      </c>
      <c r="F17" s="95">
        <f>F18+F22</f>
        <v>6071331.7066347906</v>
      </c>
      <c r="G17" s="95">
        <f>G18+G22</f>
        <v>5987052.2987661138</v>
      </c>
      <c r="H17" s="95">
        <f>H18+H22</f>
        <v>6058596.9441134315</v>
      </c>
      <c r="I17" s="95">
        <f>I18+I22</f>
        <v>6050729.3232888281</v>
      </c>
      <c r="J17" s="95">
        <f>J18+J22</f>
        <v>6064346.7672559815</v>
      </c>
      <c r="K17" s="95">
        <f t="shared" ref="K17:L17" si="10">K18+K22</f>
        <v>7396363.7018963285</v>
      </c>
      <c r="L17" s="95">
        <f t="shared" si="10"/>
        <v>7352687.7183902804</v>
      </c>
      <c r="M17" s="95">
        <f t="shared" ref="M17" si="11">M18+M22</f>
        <v>7405327.6343025323</v>
      </c>
    </row>
    <row r="18" spans="1:18" x14ac:dyDescent="0.2">
      <c r="A18" s="100" t="s">
        <v>114</v>
      </c>
      <c r="B18" s="125"/>
      <c r="C18" s="126"/>
      <c r="D18" s="100" t="s">
        <v>45</v>
      </c>
      <c r="E18" s="100" t="s">
        <v>45</v>
      </c>
      <c r="F18" s="100">
        <f>SUM(F19:F20)</f>
        <v>3706601.6016340517</v>
      </c>
      <c r="G18" s="100">
        <f>SUM(G19:G20)</f>
        <v>3663415.0588815985</v>
      </c>
      <c r="H18" s="100">
        <f>SUM(H19:H20)</f>
        <v>3710982.6861734316</v>
      </c>
      <c r="I18" s="100">
        <f>SUM(I19:I20)</f>
        <v>3710086.2291438286</v>
      </c>
      <c r="J18" s="100">
        <f>SUM(J19:J20)</f>
        <v>3687853.0917713176</v>
      </c>
      <c r="K18" s="100">
        <f>SUM(K19:K21)</f>
        <v>4909235.299391062</v>
      </c>
      <c r="L18" s="100">
        <f>SUM(L19:L21)</f>
        <v>4900641.7466776092</v>
      </c>
      <c r="M18" s="100">
        <f>SUM(M19:M21)</f>
        <v>4960452.2452333188</v>
      </c>
      <c r="N18" s="82"/>
      <c r="O18" s="82"/>
      <c r="P18" s="82"/>
    </row>
    <row r="19" spans="1:18" x14ac:dyDescent="0.2">
      <c r="A19" s="44" t="s">
        <v>208</v>
      </c>
      <c r="B19" s="60"/>
      <c r="C19" s="77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  <c r="L19" s="7">
        <v>1996874.2715025852</v>
      </c>
      <c r="M19" s="7">
        <v>2015223.9344224229</v>
      </c>
      <c r="O19" s="82"/>
      <c r="P19" s="82"/>
      <c r="R19" s="168"/>
    </row>
    <row r="20" spans="1:18" x14ac:dyDescent="0.2">
      <c r="A20" s="44" t="s">
        <v>209</v>
      </c>
      <c r="B20" s="60"/>
      <c r="C20" s="77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1814715.4697606959</v>
      </c>
      <c r="K20" s="7">
        <v>1919081.6510429282</v>
      </c>
      <c r="L20" s="7">
        <v>1853175.5696850244</v>
      </c>
      <c r="M20" s="7">
        <v>1899584.2010308958</v>
      </c>
      <c r="O20" s="82"/>
      <c r="P20" s="82"/>
      <c r="R20" s="168"/>
    </row>
    <row r="21" spans="1:18" x14ac:dyDescent="0.2">
      <c r="A21" s="44" t="s">
        <v>210</v>
      </c>
      <c r="B21" s="60"/>
      <c r="C21" s="77"/>
      <c r="D21" s="96"/>
      <c r="E21" s="96"/>
      <c r="F21" s="96"/>
      <c r="G21" s="96"/>
      <c r="H21" s="96"/>
      <c r="I21" s="96"/>
      <c r="J21" s="96"/>
      <c r="K21" s="96">
        <v>1093656.167120002</v>
      </c>
      <c r="L21" s="96">
        <v>1050591.90549</v>
      </c>
      <c r="M21" s="96">
        <v>1045644.1097800001</v>
      </c>
      <c r="O21" s="82"/>
      <c r="P21" s="82"/>
      <c r="Q21" s="82"/>
      <c r="R21" s="168"/>
    </row>
    <row r="22" spans="1:18" x14ac:dyDescent="0.2">
      <c r="A22" s="122" t="s">
        <v>115</v>
      </c>
      <c r="B22" s="127"/>
      <c r="C22" s="128"/>
      <c r="D22" s="122" t="s">
        <v>45</v>
      </c>
      <c r="E22" s="122" t="s">
        <v>45</v>
      </c>
      <c r="F22" s="122">
        <f>SUM(F23:F24)</f>
        <v>2364730.105000739</v>
      </c>
      <c r="G22" s="122">
        <f>SUM(G23:G24)</f>
        <v>2323637.2398845158</v>
      </c>
      <c r="H22" s="122">
        <f>SUM(H23:H24)</f>
        <v>2347614.2579400004</v>
      </c>
      <c r="I22" s="122">
        <f>SUM(I23:I24)</f>
        <v>2340643.094145</v>
      </c>
      <c r="J22" s="122">
        <f>SUM(J23:J24)</f>
        <v>2376493.6754846638</v>
      </c>
      <c r="K22" s="122">
        <f>SUM(K23:K25)</f>
        <v>2487128.402505266</v>
      </c>
      <c r="L22" s="122">
        <f>SUM(L23:L25)</f>
        <v>2452045.9717126717</v>
      </c>
      <c r="M22" s="122">
        <f>SUM(M23:M25)</f>
        <v>2444875.389069214</v>
      </c>
      <c r="N22" s="82"/>
      <c r="O22" s="82"/>
      <c r="P22" s="82"/>
    </row>
    <row r="23" spans="1:18" x14ac:dyDescent="0.2">
      <c r="A23" s="8" t="s">
        <v>208</v>
      </c>
      <c r="B23" s="64"/>
      <c r="C23" s="80"/>
      <c r="D23" s="96"/>
      <c r="E23" s="96"/>
      <c r="F23" s="96">
        <v>1459562.586312226</v>
      </c>
      <c r="G23" s="96">
        <v>1426197.7501745159</v>
      </c>
      <c r="H23" s="96">
        <v>1455581.5896100001</v>
      </c>
      <c r="I23" s="96">
        <v>1433474.2538049999</v>
      </c>
      <c r="J23" s="96">
        <v>1472497.9547339999</v>
      </c>
      <c r="K23" s="96">
        <v>1446541.9076657661</v>
      </c>
      <c r="L23" s="96">
        <v>1440961.88943</v>
      </c>
      <c r="M23" s="96">
        <v>1423613.5967400002</v>
      </c>
      <c r="O23" s="82"/>
      <c r="P23" s="82"/>
    </row>
    <row r="24" spans="1:18" x14ac:dyDescent="0.2">
      <c r="A24" s="8" t="s">
        <v>209</v>
      </c>
      <c r="B24" s="64"/>
      <c r="C24" s="80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903995.72075066413</v>
      </c>
      <c r="K24" s="8">
        <v>904511.84532950004</v>
      </c>
      <c r="L24" s="8">
        <v>878675.48713267152</v>
      </c>
      <c r="M24" s="8">
        <v>886832.88850921369</v>
      </c>
      <c r="O24" s="82"/>
      <c r="P24" s="82"/>
    </row>
    <row r="25" spans="1:18" x14ac:dyDescent="0.2">
      <c r="A25" s="44" t="s">
        <v>210</v>
      </c>
      <c r="B25" s="64"/>
      <c r="C25" s="80"/>
      <c r="D25" s="8"/>
      <c r="E25" s="8"/>
      <c r="F25" s="8"/>
      <c r="G25" s="8"/>
      <c r="H25" s="8"/>
      <c r="I25" s="8"/>
      <c r="J25" s="8"/>
      <c r="K25" s="8">
        <v>136074.64950999973</v>
      </c>
      <c r="L25" s="8">
        <v>132408.5951499998</v>
      </c>
      <c r="M25" s="8">
        <v>134428.90382000001</v>
      </c>
      <c r="O25" s="82"/>
      <c r="P25" s="82"/>
    </row>
    <row r="26" spans="1:18" x14ac:dyDescent="0.2">
      <c r="B26" s="63"/>
      <c r="C26" s="75"/>
    </row>
    <row r="27" spans="1:18" x14ac:dyDescent="0.2">
      <c r="B27" s="63"/>
      <c r="C27" s="75"/>
    </row>
    <row r="28" spans="1:18" ht="15.75" customHeight="1" x14ac:dyDescent="0.2">
      <c r="A28" s="95" t="s">
        <v>240</v>
      </c>
      <c r="B28" s="95"/>
      <c r="C28" s="95" t="s">
        <v>12</v>
      </c>
      <c r="D28" s="95">
        <f>D29+D30</f>
        <v>1254215.42824</v>
      </c>
      <c r="E28" s="95">
        <f>E29+E30</f>
        <v>1872395.8493600001</v>
      </c>
      <c r="F28" s="95">
        <f>F29+F30</f>
        <v>1506854.7333099998</v>
      </c>
      <c r="G28" s="95">
        <f>G29+G30</f>
        <v>1495291.4345399998</v>
      </c>
      <c r="H28" s="95">
        <f t="shared" ref="H28:M28" si="12">H29+H30+H31</f>
        <v>1734768.7283400001</v>
      </c>
      <c r="I28" s="95">
        <f t="shared" si="12"/>
        <v>2020892.8190399995</v>
      </c>
      <c r="J28" s="95">
        <f t="shared" si="12"/>
        <v>1970974.556233</v>
      </c>
      <c r="K28" s="95">
        <f t="shared" si="12"/>
        <v>1871251.8711399999</v>
      </c>
      <c r="L28" s="95">
        <f t="shared" si="12"/>
        <v>1868463.3631800008</v>
      </c>
      <c r="M28" s="95">
        <f t="shared" si="12"/>
        <v>2229256.2154600001</v>
      </c>
    </row>
    <row r="29" spans="1:18" x14ac:dyDescent="0.2">
      <c r="A29" s="104" t="s">
        <v>226</v>
      </c>
      <c r="B29" s="105"/>
      <c r="C29" s="102"/>
      <c r="D29" s="108">
        <v>1233295.42824</v>
      </c>
      <c r="E29" s="108">
        <v>1439402.4253700001</v>
      </c>
      <c r="F29" s="108">
        <v>1483497.2641299998</v>
      </c>
      <c r="G29" s="108">
        <v>1410603.5775899999</v>
      </c>
      <c r="H29" s="108">
        <v>1585536.0536454401</v>
      </c>
      <c r="I29" s="108">
        <v>1677262.5268204606</v>
      </c>
      <c r="J29" s="108">
        <v>1734663.799813</v>
      </c>
      <c r="K29" s="108">
        <v>1535680.4124400001</v>
      </c>
      <c r="L29" s="108">
        <v>1466859.7638348436</v>
      </c>
      <c r="M29" s="108">
        <v>1737818.1640199951</v>
      </c>
    </row>
    <row r="30" spans="1:18" x14ac:dyDescent="0.2">
      <c r="A30" s="106" t="s">
        <v>116</v>
      </c>
      <c r="B30" s="107"/>
      <c r="C30" s="103"/>
      <c r="D30" s="109">
        <v>20920</v>
      </c>
      <c r="E30" s="109">
        <v>432993.42399000004</v>
      </c>
      <c r="F30" s="109">
        <v>23357.46918</v>
      </c>
      <c r="G30" s="109">
        <v>84687.856950000001</v>
      </c>
      <c r="H30" s="109">
        <v>10926.748029999999</v>
      </c>
      <c r="I30" s="109">
        <v>0</v>
      </c>
      <c r="J30" s="109">
        <v>0</v>
      </c>
      <c r="K30" s="109">
        <v>0</v>
      </c>
      <c r="L30" s="109">
        <v>0</v>
      </c>
      <c r="M30" s="109">
        <v>62266.881599999993</v>
      </c>
    </row>
    <row r="31" spans="1:18" x14ac:dyDescent="0.2">
      <c r="A31" s="106" t="s">
        <v>227</v>
      </c>
      <c r="B31" s="107"/>
      <c r="C31" s="103"/>
      <c r="D31" s="110"/>
      <c r="E31" s="110"/>
      <c r="F31" s="110"/>
      <c r="G31" s="110"/>
      <c r="H31" s="109">
        <v>138305.92666456001</v>
      </c>
      <c r="I31" s="109">
        <v>343630.29221953894</v>
      </c>
      <c r="J31" s="109">
        <v>236310.75642000002</v>
      </c>
      <c r="K31" s="109">
        <v>335571.45869999996</v>
      </c>
      <c r="L31" s="109">
        <v>401603.59934515704</v>
      </c>
      <c r="M31" s="109">
        <v>429171.16984000511</v>
      </c>
    </row>
    <row r="32" spans="1:18" x14ac:dyDescent="0.2">
      <c r="A32" s="106"/>
      <c r="B32" s="107"/>
      <c r="C32" s="103"/>
      <c r="D32" s="110"/>
      <c r="E32" s="110"/>
      <c r="F32" s="110"/>
      <c r="G32" s="110"/>
      <c r="H32" s="109"/>
      <c r="I32" s="109"/>
      <c r="J32" s="109"/>
      <c r="K32" s="109"/>
      <c r="L32" s="109"/>
      <c r="M32" s="109"/>
    </row>
    <row r="33" spans="1:16" x14ac:dyDescent="0.2">
      <c r="A33" s="106" t="s">
        <v>118</v>
      </c>
      <c r="B33" s="107"/>
      <c r="C33" s="103"/>
      <c r="D33" s="111">
        <f t="shared" ref="D33:J33" si="13">D29/D4</f>
        <v>0.16229833747497976</v>
      </c>
      <c r="E33" s="111">
        <f t="shared" si="13"/>
        <v>0.20049082325986325</v>
      </c>
      <c r="F33" s="111">
        <f t="shared" si="13"/>
        <v>0.21075229241001855</v>
      </c>
      <c r="G33" s="111">
        <f t="shared" si="13"/>
        <v>0.19643612206003136</v>
      </c>
      <c r="H33" s="111">
        <f t="shared" si="13"/>
        <v>0.21885596020846024</v>
      </c>
      <c r="I33" s="111">
        <f t="shared" si="13"/>
        <v>0.23224048946935377</v>
      </c>
      <c r="J33" s="111">
        <f t="shared" si="13"/>
        <v>0.23891109535866428</v>
      </c>
      <c r="K33" s="111">
        <f>K29/K4</f>
        <v>0.21092859797778976</v>
      </c>
      <c r="L33" s="111">
        <f>L29/L4</f>
        <v>0.20510994697235338</v>
      </c>
      <c r="M33" s="111">
        <f>M29/M4</f>
        <v>0.24289776175420796</v>
      </c>
      <c r="N33" s="82"/>
      <c r="O33" s="82"/>
      <c r="P33" s="82"/>
    </row>
    <row r="34" spans="1:16" x14ac:dyDescent="0.2">
      <c r="A34" s="106" t="s">
        <v>117</v>
      </c>
      <c r="B34" s="107"/>
      <c r="C34" s="103"/>
      <c r="D34" s="111"/>
      <c r="E34" s="111"/>
      <c r="F34" s="111"/>
      <c r="G34" s="111"/>
      <c r="H34" s="111">
        <f>(H29+H31)/(H3)</f>
        <v>0.20519897560656175</v>
      </c>
      <c r="I34" s="111">
        <f>(I29+I31)/(I3)</f>
        <v>0.23964466484936595</v>
      </c>
      <c r="J34" s="111">
        <f>(J29+J31)/J3</f>
        <v>0.23218670417403606</v>
      </c>
      <c r="K34" s="111">
        <f>(K29+K31)/K3</f>
        <v>0.21937730122794338</v>
      </c>
      <c r="L34" s="111">
        <f>(L29+L31)/L3</f>
        <v>0.2234259016738899</v>
      </c>
      <c r="M34" s="111">
        <f>(M29+M31)/M3</f>
        <v>0.25928147166994664</v>
      </c>
    </row>
    <row r="35" spans="1:16" x14ac:dyDescent="0.2">
      <c r="D35" s="82"/>
      <c r="E35" s="82"/>
      <c r="F35" s="82"/>
      <c r="G35" s="82"/>
      <c r="H35" s="82"/>
      <c r="I35" s="82"/>
      <c r="J35" s="82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 L1:M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8"/>
  <sheetViews>
    <sheetView showGridLines="0" topLeftCell="A8" zoomScale="75" zoomScaleNormal="75" workbookViewId="0">
      <selection activeCell="M37" sqref="M37"/>
    </sheetView>
  </sheetViews>
  <sheetFormatPr baseColWidth="10" defaultColWidth="9.140625" defaultRowHeight="15" x14ac:dyDescent="0.25"/>
  <cols>
    <col min="1" max="1" width="22.85546875" style="67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3" width="14.42578125" bestFit="1" customWidth="1"/>
    <col min="14" max="14" width="14.85546875" bestFit="1" customWidth="1"/>
    <col min="15" max="15" width="12" bestFit="1" customWidth="1"/>
  </cols>
  <sheetData>
    <row r="1" spans="1:15" ht="22.5" customHeight="1" x14ac:dyDescent="0.3">
      <c r="A1" s="97" t="s">
        <v>180</v>
      </c>
      <c r="B1" s="69"/>
      <c r="C1" s="53"/>
      <c r="D1" s="39">
        <v>2012</v>
      </c>
      <c r="E1" s="39">
        <v>2013</v>
      </c>
      <c r="F1" s="39">
        <v>2014</v>
      </c>
      <c r="G1" s="39">
        <v>2015</v>
      </c>
      <c r="H1" s="39">
        <v>2016</v>
      </c>
      <c r="I1" s="39" t="s">
        <v>39</v>
      </c>
      <c r="J1" s="39" t="s">
        <v>196</v>
      </c>
      <c r="K1" s="39" t="s">
        <v>212</v>
      </c>
      <c r="L1" s="39" t="s">
        <v>218</v>
      </c>
      <c r="M1" s="39">
        <v>2021</v>
      </c>
    </row>
    <row r="2" spans="1:15" x14ac:dyDescent="0.25">
      <c r="A2" s="53"/>
      <c r="B2" s="53"/>
      <c r="C2" s="53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x14ac:dyDescent="0.25">
      <c r="A3" s="112" t="s">
        <v>40</v>
      </c>
      <c r="B3" s="113"/>
      <c r="C3" s="114"/>
      <c r="D3" s="115">
        <f t="shared" ref="D3:M3" si="0">D4+D9</f>
        <v>4634782</v>
      </c>
      <c r="E3" s="115">
        <f t="shared" si="0"/>
        <v>4586500.127644144</v>
      </c>
      <c r="F3" s="115">
        <f t="shared" si="0"/>
        <v>4532475</v>
      </c>
      <c r="G3" s="115">
        <f t="shared" si="0"/>
        <v>4488710.6558032557</v>
      </c>
      <c r="H3" s="115">
        <f t="shared" si="0"/>
        <v>4371055</v>
      </c>
      <c r="I3" s="115">
        <f t="shared" si="0"/>
        <v>4281818</v>
      </c>
      <c r="J3" s="115">
        <f t="shared" si="0"/>
        <v>4106864</v>
      </c>
      <c r="K3" s="115">
        <f t="shared" si="0"/>
        <v>3930410</v>
      </c>
      <c r="L3" s="115">
        <f t="shared" si="0"/>
        <v>3634639.2859610179</v>
      </c>
      <c r="M3" s="115">
        <f t="shared" si="0"/>
        <v>3293419.880017289</v>
      </c>
      <c r="N3" s="58"/>
    </row>
    <row r="4" spans="1:15" x14ac:dyDescent="0.25">
      <c r="A4" s="123" t="s">
        <v>119</v>
      </c>
      <c r="B4" s="120"/>
      <c r="C4" s="124"/>
      <c r="D4" s="122">
        <f t="shared" ref="D4:M4" si="1">D5+D6+D8+D7</f>
        <v>3133415</v>
      </c>
      <c r="E4" s="122">
        <f t="shared" si="1"/>
        <v>3020645.1276441435</v>
      </c>
      <c r="F4" s="122">
        <f t="shared" si="1"/>
        <v>3041144</v>
      </c>
      <c r="G4" s="122">
        <f t="shared" si="1"/>
        <v>3089694</v>
      </c>
      <c r="H4" s="122">
        <f t="shared" si="1"/>
        <v>3076918</v>
      </c>
      <c r="I4" s="122">
        <f t="shared" si="1"/>
        <v>3040467</v>
      </c>
      <c r="J4" s="122">
        <f t="shared" si="1"/>
        <v>2961871</v>
      </c>
      <c r="K4" s="122">
        <f t="shared" si="1"/>
        <v>2850457</v>
      </c>
      <c r="L4" s="122">
        <f t="shared" si="1"/>
        <v>2661703</v>
      </c>
      <c r="M4" s="122">
        <f t="shared" si="1"/>
        <v>2456152</v>
      </c>
      <c r="N4" s="58"/>
    </row>
    <row r="5" spans="1:15" x14ac:dyDescent="0.25">
      <c r="A5" s="26" t="s">
        <v>121</v>
      </c>
      <c r="B5" s="51"/>
      <c r="C5" s="40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7">
        <v>959124</v>
      </c>
      <c r="M5" s="7">
        <v>819265</v>
      </c>
      <c r="N5" s="58"/>
      <c r="O5" s="2"/>
    </row>
    <row r="6" spans="1:15" x14ac:dyDescent="0.25">
      <c r="A6" s="26" t="s">
        <v>122</v>
      </c>
      <c r="B6" s="51"/>
      <c r="C6" s="40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  <c r="L6" s="7">
        <v>1249644</v>
      </c>
      <c r="M6" s="7">
        <v>1158942</v>
      </c>
      <c r="N6" s="58"/>
    </row>
    <row r="7" spans="1:15" x14ac:dyDescent="0.25">
      <c r="A7" s="26" t="s">
        <v>123</v>
      </c>
      <c r="B7" s="51"/>
      <c r="C7" s="40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7">
        <v>1280</v>
      </c>
      <c r="M7" s="7">
        <v>660</v>
      </c>
      <c r="N7" s="58"/>
      <c r="O7" s="2"/>
    </row>
    <row r="8" spans="1:15" x14ac:dyDescent="0.25">
      <c r="A8" s="26" t="s">
        <v>124</v>
      </c>
      <c r="B8" s="51"/>
      <c r="C8" s="40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L8" s="7">
        <v>451655</v>
      </c>
      <c r="M8" s="7">
        <v>477285</v>
      </c>
      <c r="N8" s="58"/>
      <c r="O8" s="58"/>
    </row>
    <row r="9" spans="1:15" x14ac:dyDescent="0.25">
      <c r="A9" s="119" t="s">
        <v>120</v>
      </c>
      <c r="B9" s="120"/>
      <c r="C9" s="124"/>
      <c r="D9" s="122">
        <f t="shared" ref="D9:M9" si="2">SUM(D10:D14)</f>
        <v>1501367</v>
      </c>
      <c r="E9" s="122">
        <f t="shared" si="2"/>
        <v>1565855</v>
      </c>
      <c r="F9" s="122">
        <f t="shared" si="2"/>
        <v>1491331</v>
      </c>
      <c r="G9" s="122">
        <f t="shared" si="2"/>
        <v>1399016.6558032553</v>
      </c>
      <c r="H9" s="122">
        <f t="shared" si="2"/>
        <v>1294137</v>
      </c>
      <c r="I9" s="122">
        <f t="shared" si="2"/>
        <v>1241351</v>
      </c>
      <c r="J9" s="122">
        <f t="shared" si="2"/>
        <v>1144993</v>
      </c>
      <c r="K9" s="122">
        <f t="shared" si="2"/>
        <v>1079953</v>
      </c>
      <c r="L9" s="122">
        <f t="shared" si="2"/>
        <v>972936.28596101794</v>
      </c>
      <c r="M9" s="122">
        <f t="shared" si="2"/>
        <v>837267.88001728896</v>
      </c>
      <c r="N9" s="58"/>
    </row>
    <row r="10" spans="1:15" x14ac:dyDescent="0.25">
      <c r="A10" s="12" t="s">
        <v>121</v>
      </c>
      <c r="B10" s="52"/>
      <c r="C10" s="54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  <c r="L10" s="7">
        <v>387321</v>
      </c>
      <c r="M10" s="7">
        <v>344137</v>
      </c>
      <c r="N10" s="58"/>
    </row>
    <row r="11" spans="1:15" x14ac:dyDescent="0.25">
      <c r="A11" s="12" t="s">
        <v>122</v>
      </c>
      <c r="B11" s="52"/>
      <c r="C11" s="54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  <c r="L11" s="7">
        <v>176263</v>
      </c>
      <c r="M11" s="7">
        <v>164520</v>
      </c>
      <c r="N11" s="58"/>
    </row>
    <row r="12" spans="1:15" x14ac:dyDescent="0.25">
      <c r="A12" s="12" t="s">
        <v>123</v>
      </c>
      <c r="B12" s="52"/>
      <c r="C12" s="54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  <c r="L12" s="7">
        <v>105532</v>
      </c>
      <c r="M12" s="7">
        <v>71692</v>
      </c>
      <c r="N12" s="58"/>
    </row>
    <row r="13" spans="1:15" x14ac:dyDescent="0.25">
      <c r="A13" s="12" t="s">
        <v>125</v>
      </c>
      <c r="B13" s="52"/>
      <c r="C13" s="54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  <c r="L13" s="7">
        <v>161700</v>
      </c>
      <c r="M13" s="7">
        <v>110100</v>
      </c>
      <c r="N13" s="58"/>
    </row>
    <row r="14" spans="1:15" x14ac:dyDescent="0.25">
      <c r="A14" s="12" t="s">
        <v>126</v>
      </c>
      <c r="B14" s="52"/>
      <c r="C14" s="54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  <c r="L14" s="7">
        <v>142120.285961018</v>
      </c>
      <c r="M14" s="7">
        <v>146818.88001728899</v>
      </c>
      <c r="N14" s="58"/>
      <c r="O14" s="2"/>
    </row>
    <row r="15" spans="1:15" x14ac:dyDescent="0.25">
      <c r="A15" s="119" t="s">
        <v>188</v>
      </c>
      <c r="B15" s="120"/>
      <c r="C15" s="124"/>
      <c r="D15" s="122">
        <v>513618</v>
      </c>
      <c r="E15" s="122">
        <v>459631</v>
      </c>
      <c r="F15" s="122">
        <v>405546</v>
      </c>
      <c r="G15" s="122">
        <v>348546</v>
      </c>
      <c r="H15" s="122">
        <v>301779</v>
      </c>
      <c r="I15" s="122">
        <v>228700</v>
      </c>
      <c r="J15" s="122">
        <v>185802</v>
      </c>
      <c r="K15" s="122">
        <f>'[1]structured data'!AC298</f>
        <v>166643</v>
      </c>
      <c r="L15" s="122">
        <v>116838</v>
      </c>
      <c r="M15" s="122">
        <v>85444</v>
      </c>
      <c r="N15" s="58"/>
      <c r="O15" s="2"/>
    </row>
    <row r="16" spans="1:15" x14ac:dyDescent="0.25">
      <c r="A16" s="68"/>
      <c r="B16" s="52"/>
      <c r="C16" s="54"/>
      <c r="D16" s="7"/>
      <c r="E16" s="7"/>
      <c r="F16" s="7"/>
      <c r="G16" s="7"/>
      <c r="H16" s="7"/>
      <c r="I16" s="7"/>
      <c r="J16" s="7"/>
      <c r="K16" s="7"/>
      <c r="L16" s="7"/>
      <c r="M16" s="7"/>
      <c r="N16" s="58"/>
      <c r="O16" s="58"/>
    </row>
    <row r="17" spans="1:14" x14ac:dyDescent="0.25">
      <c r="A17" s="112" t="s">
        <v>7</v>
      </c>
      <c r="B17" s="113"/>
      <c r="C17" s="114" t="s">
        <v>12</v>
      </c>
      <c r="D17" s="115">
        <f t="shared" ref="D17:J17" si="3">D18+D22</f>
        <v>473456.86909171852</v>
      </c>
      <c r="E17" s="115">
        <f t="shared" si="3"/>
        <v>437954.34187153017</v>
      </c>
      <c r="F17" s="115">
        <f t="shared" si="3"/>
        <v>385816.31956821325</v>
      </c>
      <c r="G17" s="115">
        <f t="shared" si="3"/>
        <v>380494.07899552397</v>
      </c>
      <c r="H17" s="115">
        <f t="shared" si="3"/>
        <v>349584.71881217253</v>
      </c>
      <c r="I17" s="115">
        <f t="shared" si="3"/>
        <v>319657.87537642871</v>
      </c>
      <c r="J17" s="115">
        <f t="shared" si="3"/>
        <v>273894.23676074872</v>
      </c>
      <c r="K17" s="116" t="s">
        <v>45</v>
      </c>
      <c r="L17" s="116" t="s">
        <v>45</v>
      </c>
      <c r="M17" s="116" t="s">
        <v>45</v>
      </c>
      <c r="N17" s="58"/>
    </row>
    <row r="18" spans="1:14" x14ac:dyDescent="0.25">
      <c r="A18" s="123" t="s">
        <v>130</v>
      </c>
      <c r="B18" s="120"/>
      <c r="C18" s="124"/>
      <c r="D18" s="122">
        <f t="shared" ref="D18:J18" si="4">SUM(D19:D21)</f>
        <v>242656.71941039179</v>
      </c>
      <c r="E18" s="122">
        <f t="shared" si="4"/>
        <v>223078.84537304559</v>
      </c>
      <c r="F18" s="122">
        <f t="shared" si="4"/>
        <v>205401.39034822118</v>
      </c>
      <c r="G18" s="122">
        <f t="shared" si="4"/>
        <v>216669.5522781536</v>
      </c>
      <c r="H18" s="122">
        <f t="shared" si="4"/>
        <v>200140.81684841256</v>
      </c>
      <c r="I18" s="122">
        <f t="shared" si="4"/>
        <v>173712.54161263537</v>
      </c>
      <c r="J18" s="122">
        <f t="shared" si="4"/>
        <v>154065.44413703907</v>
      </c>
      <c r="K18" s="122"/>
      <c r="L18" s="122"/>
      <c r="M18" s="122"/>
      <c r="N18" s="58"/>
    </row>
    <row r="19" spans="1:14" x14ac:dyDescent="0.25">
      <c r="A19" s="12" t="s">
        <v>129</v>
      </c>
      <c r="B19" s="52"/>
      <c r="C19" s="54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  <c r="L19" s="7"/>
      <c r="M19" s="7"/>
      <c r="N19" s="58"/>
    </row>
    <row r="20" spans="1:14" x14ac:dyDescent="0.25">
      <c r="A20" s="12" t="s">
        <v>127</v>
      </c>
      <c r="B20" s="52"/>
      <c r="C20" s="54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  <c r="L20" s="7"/>
      <c r="M20" s="7"/>
      <c r="N20" s="58"/>
    </row>
    <row r="21" spans="1:14" x14ac:dyDescent="0.25">
      <c r="A21" s="12" t="s">
        <v>128</v>
      </c>
      <c r="B21" s="52"/>
      <c r="C21" s="54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  <c r="L21" s="7"/>
      <c r="M21" s="7"/>
      <c r="N21" s="58"/>
    </row>
    <row r="22" spans="1:14" x14ac:dyDescent="0.25">
      <c r="A22" s="119" t="s">
        <v>131</v>
      </c>
      <c r="B22" s="120"/>
      <c r="C22" s="121"/>
      <c r="D22" s="122">
        <f t="shared" ref="D22:J22" si="5">SUM(D23:D25)</f>
        <v>230800.14968132673</v>
      </c>
      <c r="E22" s="122">
        <f t="shared" si="5"/>
        <v>214875.49649848454</v>
      </c>
      <c r="F22" s="122">
        <f t="shared" si="5"/>
        <v>180414.92921999207</v>
      </c>
      <c r="G22" s="122">
        <f t="shared" si="5"/>
        <v>163824.52671737041</v>
      </c>
      <c r="H22" s="122">
        <f t="shared" si="5"/>
        <v>149443.90196376</v>
      </c>
      <c r="I22" s="122">
        <f t="shared" si="5"/>
        <v>145945.33376379337</v>
      </c>
      <c r="J22" s="122">
        <f t="shared" si="5"/>
        <v>119828.79262370964</v>
      </c>
      <c r="K22" s="122"/>
      <c r="L22" s="122"/>
      <c r="M22" s="122"/>
      <c r="N22" s="58"/>
    </row>
    <row r="23" spans="1:14" x14ac:dyDescent="0.25">
      <c r="A23" s="26" t="s">
        <v>42</v>
      </c>
      <c r="B23" s="51"/>
      <c r="C23" s="40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  <c r="L23" s="7"/>
      <c r="M23" s="7"/>
      <c r="N23" s="58"/>
    </row>
    <row r="24" spans="1:14" x14ac:dyDescent="0.25">
      <c r="A24" s="26" t="s">
        <v>43</v>
      </c>
      <c r="B24" s="51"/>
      <c r="C24" s="40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  <c r="L24" s="7"/>
      <c r="M24" s="7"/>
      <c r="N24" s="58"/>
    </row>
    <row r="25" spans="1:14" x14ac:dyDescent="0.25">
      <c r="A25" s="26" t="s">
        <v>44</v>
      </c>
      <c r="B25" s="51"/>
      <c r="C25" s="40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  <c r="L25" s="7"/>
      <c r="M25" s="7"/>
      <c r="N25" s="58"/>
    </row>
    <row r="26" spans="1:14" x14ac:dyDescent="0.25">
      <c r="A26" s="70"/>
      <c r="B26" s="71"/>
      <c r="C26" s="5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58"/>
    </row>
    <row r="27" spans="1:14" x14ac:dyDescent="0.25">
      <c r="A27" s="112" t="s">
        <v>41</v>
      </c>
      <c r="B27" s="113"/>
      <c r="C27" s="114" t="s">
        <v>48</v>
      </c>
      <c r="D27" s="115">
        <f t="shared" ref="D27:M27" si="6">D28+D32</f>
        <v>12282796.751841892</v>
      </c>
      <c r="E27" s="115">
        <f t="shared" si="6"/>
        <v>11424374.605210267</v>
      </c>
      <c r="F27" s="115">
        <f t="shared" si="6"/>
        <v>10575643.856033698</v>
      </c>
      <c r="G27" s="115">
        <f t="shared" si="6"/>
        <v>9605591.0551154613</v>
      </c>
      <c r="H27" s="115">
        <f t="shared" si="6"/>
        <v>8923776.646408435</v>
      </c>
      <c r="I27" s="115">
        <f t="shared" si="6"/>
        <v>7773197.5069128424</v>
      </c>
      <c r="J27" s="115">
        <f t="shared" si="6"/>
        <v>6623382.8742634831</v>
      </c>
      <c r="K27" s="115">
        <f t="shared" si="6"/>
        <v>5624739.9350432549</v>
      </c>
      <c r="L27" s="115">
        <f t="shared" si="6"/>
        <v>6449366.5921529345</v>
      </c>
      <c r="M27" s="115">
        <f t="shared" si="6"/>
        <v>5178158.8459649999</v>
      </c>
      <c r="N27" s="58"/>
    </row>
    <row r="28" spans="1:14" x14ac:dyDescent="0.25">
      <c r="A28" s="117" t="s">
        <v>130</v>
      </c>
      <c r="B28" s="50"/>
      <c r="C28" s="32"/>
      <c r="D28" s="101">
        <f t="shared" ref="D28:M28" si="7">SUM(D29:D31)</f>
        <v>8322739.9548465246</v>
      </c>
      <c r="E28" s="101">
        <f t="shared" si="7"/>
        <v>7864750.2658426911</v>
      </c>
      <c r="F28" s="101">
        <f t="shared" si="7"/>
        <v>7298386.0530207306</v>
      </c>
      <c r="G28" s="101">
        <f t="shared" si="7"/>
        <v>6663664.6442324771</v>
      </c>
      <c r="H28" s="101">
        <f t="shared" si="7"/>
        <v>6110496.2383349873</v>
      </c>
      <c r="I28" s="101">
        <f t="shared" si="7"/>
        <v>5269936.2181511372</v>
      </c>
      <c r="J28" s="101">
        <f t="shared" si="7"/>
        <v>4404679.4887949955</v>
      </c>
      <c r="K28" s="101">
        <f t="shared" si="7"/>
        <v>3698894.8469506665</v>
      </c>
      <c r="L28" s="101">
        <f t="shared" si="7"/>
        <v>4436055.4097600896</v>
      </c>
      <c r="M28" s="101">
        <f t="shared" si="7"/>
        <v>3365583.2470749998</v>
      </c>
      <c r="N28" s="170"/>
    </row>
    <row r="29" spans="1:14" x14ac:dyDescent="0.25">
      <c r="A29" s="26" t="s">
        <v>42</v>
      </c>
      <c r="B29" s="51"/>
      <c r="C29" s="40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7">
        <v>3378842.4009090802</v>
      </c>
      <c r="M29" s="7">
        <v>2534431.344213333</v>
      </c>
    </row>
    <row r="30" spans="1:14" x14ac:dyDescent="0.25">
      <c r="A30" s="26" t="s">
        <v>43</v>
      </c>
      <c r="B30" s="51"/>
      <c r="C30" s="40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7">
        <v>713320.30555047607</v>
      </c>
      <c r="M30" s="7">
        <v>574520.68597500003</v>
      </c>
    </row>
    <row r="31" spans="1:14" x14ac:dyDescent="0.25">
      <c r="A31" s="26" t="s">
        <v>44</v>
      </c>
      <c r="B31" s="51"/>
      <c r="C31" s="40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  <c r="L31" s="7">
        <v>343892.703300533</v>
      </c>
      <c r="M31" s="7">
        <v>256631.21688666669</v>
      </c>
    </row>
    <row r="32" spans="1:14" x14ac:dyDescent="0.25">
      <c r="A32" s="118" t="s">
        <v>131</v>
      </c>
      <c r="B32" s="50"/>
      <c r="C32" s="55"/>
      <c r="D32" s="101">
        <f t="shared" ref="D32:M32" si="8">SUM(D33:D35)</f>
        <v>3960056.7969953665</v>
      </c>
      <c r="E32" s="101">
        <f t="shared" si="8"/>
        <v>3559624.339367575</v>
      </c>
      <c r="F32" s="101">
        <f t="shared" si="8"/>
        <v>3277257.803012968</v>
      </c>
      <c r="G32" s="101">
        <f t="shared" si="8"/>
        <v>2941926.4108829852</v>
      </c>
      <c r="H32" s="101">
        <f t="shared" si="8"/>
        <v>2813280.4080734467</v>
      </c>
      <c r="I32" s="101">
        <f t="shared" si="8"/>
        <v>2503261.2887617047</v>
      </c>
      <c r="J32" s="101">
        <f t="shared" si="8"/>
        <v>2218703.3854684876</v>
      </c>
      <c r="K32" s="101">
        <f t="shared" si="8"/>
        <v>1925845.0880925879</v>
      </c>
      <c r="L32" s="101">
        <f t="shared" si="8"/>
        <v>2013311.1823928445</v>
      </c>
      <c r="M32" s="101">
        <f t="shared" si="8"/>
        <v>1812575.59889</v>
      </c>
    </row>
    <row r="33" spans="1:16" x14ac:dyDescent="0.25">
      <c r="A33" s="26" t="s">
        <v>42</v>
      </c>
      <c r="B33" s="51"/>
      <c r="C33" s="40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  <c r="L33" s="7">
        <v>1139820.9220998883</v>
      </c>
      <c r="M33" s="7">
        <v>1026486.9647233334</v>
      </c>
    </row>
    <row r="34" spans="1:16" x14ac:dyDescent="0.25">
      <c r="A34" s="26" t="s">
        <v>43</v>
      </c>
      <c r="B34" s="51"/>
      <c r="C34" s="40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  <c r="L34" s="7">
        <v>731781.32924859063</v>
      </c>
      <c r="M34" s="7">
        <v>687920.61637833319</v>
      </c>
    </row>
    <row r="35" spans="1:16" x14ac:dyDescent="0.25">
      <c r="A35" s="26" t="s">
        <v>44</v>
      </c>
      <c r="B35" s="51"/>
      <c r="C35" s="40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  <c r="L35" s="7">
        <v>141708.93104436545</v>
      </c>
      <c r="M35" s="7">
        <v>98168.017788333353</v>
      </c>
    </row>
    <row r="36" spans="1:16" x14ac:dyDescent="0.25">
      <c r="A36" s="68"/>
      <c r="B36" s="52"/>
      <c r="C36" s="54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x14ac:dyDescent="0.25">
      <c r="A37" s="112" t="s">
        <v>8</v>
      </c>
      <c r="B37" s="113"/>
      <c r="C37" s="114"/>
      <c r="D37" s="115">
        <f t="shared" ref="D37:M37" si="9">D38+D39</f>
        <v>3690707</v>
      </c>
      <c r="E37" s="115">
        <f t="shared" si="9"/>
        <v>3828918.1276441435</v>
      </c>
      <c r="F37" s="115">
        <f t="shared" si="9"/>
        <v>4011201.1276441435</v>
      </c>
      <c r="G37" s="115">
        <f t="shared" si="9"/>
        <v>4121049</v>
      </c>
      <c r="H37" s="115">
        <f t="shared" si="9"/>
        <v>4265025.9999999981</v>
      </c>
      <c r="I37" s="115">
        <f t="shared" si="9"/>
        <v>4378973</v>
      </c>
      <c r="J37" s="115">
        <f t="shared" si="9"/>
        <v>4502950</v>
      </c>
      <c r="K37" s="115">
        <f t="shared" si="9"/>
        <v>4590707</v>
      </c>
      <c r="L37" s="115">
        <f t="shared" si="9"/>
        <v>4734210</v>
      </c>
      <c r="M37" s="115">
        <f t="shared" si="9"/>
        <v>4920679</v>
      </c>
      <c r="N37" s="31"/>
    </row>
    <row r="38" spans="1:16" x14ac:dyDescent="0.25">
      <c r="A38" s="72" t="s">
        <v>132</v>
      </c>
      <c r="B38" s="52"/>
      <c r="C38" s="54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3735715</v>
      </c>
      <c r="L38" s="7">
        <v>3856664</v>
      </c>
      <c r="M38" s="7">
        <v>4021027</v>
      </c>
      <c r="N38" s="31"/>
      <c r="O38" s="58"/>
      <c r="P38" s="58"/>
    </row>
    <row r="39" spans="1:16" x14ac:dyDescent="0.25">
      <c r="A39" s="12" t="s">
        <v>62</v>
      </c>
      <c r="B39" s="52"/>
      <c r="C39" s="54"/>
      <c r="D39" s="7">
        <v>709906</v>
      </c>
      <c r="E39" s="7">
        <v>698945</v>
      </c>
      <c r="F39" s="7">
        <v>775743</v>
      </c>
      <c r="G39" s="7">
        <v>776454</v>
      </c>
      <c r="H39" s="7">
        <v>799531.99999999988</v>
      </c>
      <c r="I39" s="7">
        <v>812748</v>
      </c>
      <c r="J39" s="7">
        <v>852264</v>
      </c>
      <c r="K39" s="7">
        <v>854992</v>
      </c>
      <c r="L39" s="7">
        <v>877546</v>
      </c>
      <c r="M39" s="7">
        <v>899652</v>
      </c>
      <c r="N39" s="31"/>
    </row>
    <row r="40" spans="1:16" x14ac:dyDescent="0.25">
      <c r="A40" s="73"/>
      <c r="B40" s="74"/>
      <c r="C40" s="4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6" x14ac:dyDescent="0.25">
      <c r="A41" s="112" t="s">
        <v>9</v>
      </c>
      <c r="B41" s="113"/>
      <c r="C41" s="114"/>
      <c r="D41" s="115">
        <f t="shared" ref="D41:J41" si="10">SUM(D42:D46)</f>
        <v>3690707</v>
      </c>
      <c r="E41" s="115">
        <f t="shared" si="10"/>
        <v>3828918.1276441435</v>
      </c>
      <c r="F41" s="115">
        <f t="shared" si="10"/>
        <v>4011201.127644144</v>
      </c>
      <c r="G41" s="115">
        <f t="shared" si="10"/>
        <v>4121049</v>
      </c>
      <c r="H41" s="115">
        <f t="shared" si="10"/>
        <v>4270309</v>
      </c>
      <c r="I41" s="115">
        <f t="shared" si="10"/>
        <v>4378973</v>
      </c>
      <c r="J41" s="115">
        <f t="shared" si="10"/>
        <v>4502950.4081960283</v>
      </c>
      <c r="K41" s="115">
        <f>SUM(K42:K47)</f>
        <v>4590707</v>
      </c>
      <c r="L41" s="115">
        <f>SUM(L42:L47)</f>
        <v>4734210</v>
      </c>
      <c r="M41" s="115">
        <f>SUM(M42:M47)</f>
        <v>4920679</v>
      </c>
      <c r="N41" s="2"/>
    </row>
    <row r="42" spans="1:16" x14ac:dyDescent="0.25">
      <c r="A42" s="72" t="s">
        <v>133</v>
      </c>
      <c r="B42" s="52"/>
      <c r="C42" s="54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  <c r="L42" s="7">
        <v>4936.30574483083</v>
      </c>
      <c r="M42" s="7">
        <v>4320.2317350362591</v>
      </c>
      <c r="N42" s="58"/>
      <c r="O42" s="2"/>
    </row>
    <row r="43" spans="1:16" x14ac:dyDescent="0.25">
      <c r="A43" s="12" t="s">
        <v>134</v>
      </c>
      <c r="B43" s="52"/>
      <c r="C43" s="54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  <c r="L43" s="7">
        <v>55658.649675162</v>
      </c>
      <c r="M43" s="7">
        <v>32250.80934746089</v>
      </c>
      <c r="N43" s="58"/>
      <c r="O43" s="2"/>
    </row>
    <row r="44" spans="1:16" x14ac:dyDescent="0.25">
      <c r="A44" s="12" t="s">
        <v>135</v>
      </c>
      <c r="B44" s="52"/>
      <c r="C44" s="54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  <c r="L44" s="7">
        <v>108217.70878621162</v>
      </c>
      <c r="M44" s="7">
        <v>107544.77350296144</v>
      </c>
      <c r="N44" s="58"/>
      <c r="O44" s="2"/>
    </row>
    <row r="45" spans="1:16" x14ac:dyDescent="0.25">
      <c r="A45" s="12" t="s">
        <v>136</v>
      </c>
      <c r="B45" s="52"/>
      <c r="C45" s="54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7">
        <v>1448781.9273674409</v>
      </c>
      <c r="M45" s="7">
        <v>1386266.023838944</v>
      </c>
      <c r="N45" s="58"/>
      <c r="O45" s="2"/>
    </row>
    <row r="46" spans="1:16" x14ac:dyDescent="0.25">
      <c r="A46" s="12" t="s">
        <v>217</v>
      </c>
      <c r="B46" s="52"/>
      <c r="C46" s="54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2890783.5367466691</v>
      </c>
      <c r="L46" s="7">
        <v>3115202.4084263542</v>
      </c>
      <c r="M46" s="7">
        <v>3295395.1615755968</v>
      </c>
      <c r="N46" s="58"/>
      <c r="O46" s="2"/>
      <c r="P46" s="31"/>
    </row>
    <row r="47" spans="1:16" x14ac:dyDescent="0.25">
      <c r="A47" s="12" t="s">
        <v>216</v>
      </c>
      <c r="B47" s="52"/>
      <c r="C47" s="54"/>
      <c r="D47" s="7"/>
      <c r="E47" s="7"/>
      <c r="F47" s="7"/>
      <c r="G47" s="7"/>
      <c r="H47" s="7"/>
      <c r="I47" s="7"/>
      <c r="J47" s="7"/>
      <c r="K47" s="7">
        <v>261</v>
      </c>
      <c r="L47" s="7">
        <v>1413</v>
      </c>
      <c r="M47" s="7">
        <v>94902</v>
      </c>
      <c r="N47" s="58"/>
      <c r="O47" s="2"/>
    </row>
    <row r="48" spans="1:16" x14ac:dyDescent="0.25">
      <c r="A48" s="73"/>
      <c r="B48" s="74"/>
      <c r="C48" s="49"/>
      <c r="D48" s="11"/>
      <c r="E48" s="11"/>
      <c r="F48" s="11"/>
      <c r="G48" s="11"/>
      <c r="H48" s="11"/>
      <c r="I48" s="11"/>
      <c r="J48" s="11"/>
      <c r="K48" s="157"/>
      <c r="L48" s="157"/>
      <c r="M48" s="157"/>
      <c r="N48" s="58"/>
    </row>
    <row r="49" spans="1:15" x14ac:dyDescent="0.25">
      <c r="A49" s="112" t="s">
        <v>10</v>
      </c>
      <c r="B49" s="113"/>
      <c r="C49" s="114"/>
      <c r="D49" s="115">
        <f t="shared" ref="D49:M49" si="11">SUM(D50:D55)</f>
        <v>3690707</v>
      </c>
      <c r="E49" s="115">
        <f t="shared" si="11"/>
        <v>3828918.1276441435</v>
      </c>
      <c r="F49" s="115">
        <f t="shared" si="11"/>
        <v>4011201.1276441435</v>
      </c>
      <c r="G49" s="115">
        <f t="shared" si="11"/>
        <v>4121049</v>
      </c>
      <c r="H49" s="115">
        <f t="shared" si="11"/>
        <v>4270309</v>
      </c>
      <c r="I49" s="115">
        <f t="shared" si="11"/>
        <v>4378973</v>
      </c>
      <c r="J49" s="115">
        <f t="shared" si="11"/>
        <v>4502950.4081960283</v>
      </c>
      <c r="K49" s="115">
        <f t="shared" si="11"/>
        <v>4590707</v>
      </c>
      <c r="L49" s="115">
        <f t="shared" si="11"/>
        <v>4734210</v>
      </c>
      <c r="M49" s="115">
        <f t="shared" si="11"/>
        <v>4920679</v>
      </c>
      <c r="N49" s="2"/>
    </row>
    <row r="50" spans="1:15" x14ac:dyDescent="0.25">
      <c r="A50" s="72" t="s">
        <v>137</v>
      </c>
      <c r="B50" s="52"/>
      <c r="C50" s="54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  <c r="L50" s="7">
        <v>55681.000000000058</v>
      </c>
      <c r="M50" s="7">
        <v>29349.000000000015</v>
      </c>
      <c r="N50" s="31"/>
    </row>
    <row r="51" spans="1:15" x14ac:dyDescent="0.25">
      <c r="A51" s="12" t="s">
        <v>138</v>
      </c>
      <c r="B51" s="52"/>
      <c r="C51" s="54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  <c r="L51" s="7">
        <v>2086597.9999999995</v>
      </c>
      <c r="M51" s="7">
        <v>2091390.9999999995</v>
      </c>
    </row>
    <row r="52" spans="1:15" x14ac:dyDescent="0.25">
      <c r="A52" s="12" t="s">
        <v>139</v>
      </c>
      <c r="B52" s="52"/>
      <c r="C52" s="54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7">
        <v>24731</v>
      </c>
      <c r="M52" s="7">
        <v>18320</v>
      </c>
      <c r="N52" s="31"/>
      <c r="O52" s="2"/>
    </row>
    <row r="53" spans="1:15" x14ac:dyDescent="0.25">
      <c r="A53" s="12" t="s">
        <v>140</v>
      </c>
      <c r="B53" s="52"/>
      <c r="C53" s="54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2368810</v>
      </c>
      <c r="L53" s="7">
        <v>2476804</v>
      </c>
      <c r="M53" s="7">
        <v>2539748</v>
      </c>
    </row>
    <row r="54" spans="1:15" x14ac:dyDescent="0.25">
      <c r="A54" s="12" t="s">
        <v>228</v>
      </c>
      <c r="B54" s="52"/>
      <c r="C54" s="54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58948</v>
      </c>
      <c r="L54" s="7">
        <v>88989</v>
      </c>
      <c r="M54" s="7">
        <v>151848</v>
      </c>
      <c r="N54" s="31"/>
    </row>
    <row r="55" spans="1:15" x14ac:dyDescent="0.25">
      <c r="A55" s="12" t="s">
        <v>141</v>
      </c>
      <c r="B55" s="52"/>
      <c r="C55" s="54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1913</v>
      </c>
      <c r="L55" s="7">
        <v>1407</v>
      </c>
      <c r="M55" s="7">
        <v>90023</v>
      </c>
      <c r="N55" s="2"/>
    </row>
    <row r="57" spans="1:15" x14ac:dyDescent="0.25">
      <c r="L57" s="2"/>
      <c r="M57" s="2"/>
      <c r="N57" s="2"/>
    </row>
    <row r="58" spans="1:15" x14ac:dyDescent="0.25">
      <c r="M58" s="172"/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" numberStoredAsText="1"/>
    <ignoredError sqref="D9:I9 J9:K9 L9:M9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W143"/>
  <sheetViews>
    <sheetView showGridLines="0" topLeftCell="A13" zoomScale="75" zoomScaleNormal="75" workbookViewId="0">
      <pane xSplit="3" topLeftCell="J1" activePane="topRight" state="frozen"/>
      <selection pane="topRight" activeCell="L46" sqref="L46"/>
    </sheetView>
  </sheetViews>
  <sheetFormatPr baseColWidth="10" defaultColWidth="9.140625" defaultRowHeight="15" x14ac:dyDescent="0.25"/>
  <cols>
    <col min="1" max="1" width="24.140625" customWidth="1"/>
    <col min="2" max="2" width="72.140625" customWidth="1"/>
    <col min="3" max="3" width="21.140625" bestFit="1" customWidth="1"/>
    <col min="4" max="4" width="17" customWidth="1"/>
    <col min="5" max="5" width="18" bestFit="1" customWidth="1"/>
    <col min="6" max="6" width="18.42578125" bestFit="1" customWidth="1"/>
    <col min="7" max="8" width="18.85546875" bestFit="1" customWidth="1"/>
    <col min="9" max="10" width="19.7109375" bestFit="1" customWidth="1"/>
    <col min="11" max="13" width="20.28515625" bestFit="1" customWidth="1"/>
    <col min="14" max="14" width="4" customWidth="1"/>
    <col min="15" max="15" width="11.5703125" bestFit="1" customWidth="1"/>
    <col min="16" max="16" width="5.85546875" customWidth="1"/>
    <col min="17" max="17" width="16.85546875" bestFit="1" customWidth="1"/>
    <col min="19" max="20" width="11.85546875" customWidth="1"/>
    <col min="21" max="22" width="10.42578125" bestFit="1" customWidth="1"/>
  </cols>
  <sheetData>
    <row r="1" spans="1:23" s="67" customFormat="1" ht="29.25" customHeight="1" x14ac:dyDescent="0.3">
      <c r="A1" s="97" t="s">
        <v>180</v>
      </c>
      <c r="B1" s="69"/>
      <c r="D1" s="65">
        <v>2012</v>
      </c>
      <c r="E1" s="65">
        <v>2013</v>
      </c>
      <c r="F1" s="65">
        <v>2014</v>
      </c>
      <c r="G1" s="65">
        <v>2015</v>
      </c>
      <c r="H1" s="65">
        <v>2016</v>
      </c>
      <c r="I1" s="65" t="s">
        <v>39</v>
      </c>
      <c r="J1" s="65" t="s">
        <v>196</v>
      </c>
      <c r="K1" s="65" t="s">
        <v>212</v>
      </c>
      <c r="L1" s="65" t="s">
        <v>218</v>
      </c>
      <c r="M1" s="65" t="s">
        <v>225</v>
      </c>
    </row>
    <row r="2" spans="1:23" ht="12" customHeight="1" x14ac:dyDescent="0.3">
      <c r="A2" s="69"/>
      <c r="B2" s="6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3" x14ac:dyDescent="0.25">
      <c r="A3" s="115" t="s">
        <v>232</v>
      </c>
      <c r="B3" s="115"/>
      <c r="C3" s="129" t="s">
        <v>12</v>
      </c>
      <c r="D3" s="115">
        <v>4016152.4992681751</v>
      </c>
      <c r="E3" s="115">
        <f>SUM(E4:E16)</f>
        <v>3730108.0548904478</v>
      </c>
      <c r="F3" s="115">
        <f>SUM(F4:F16)</f>
        <v>3553593.7591712978</v>
      </c>
      <c r="G3" s="115">
        <f>SUM(G4:G16)</f>
        <v>3644519.7838427718</v>
      </c>
      <c r="H3" s="115">
        <f t="shared" ref="H3:M3" si="0">H4+H7+H8+H9+H10+H13+H14+H15+H16</f>
        <v>3641111.6450200006</v>
      </c>
      <c r="I3" s="115">
        <f t="shared" si="0"/>
        <v>3587870.7603600002</v>
      </c>
      <c r="J3" s="115">
        <f t="shared" si="0"/>
        <v>3539367.99872</v>
      </c>
      <c r="K3" s="115">
        <f t="shared" si="0"/>
        <v>3459995.3517699991</v>
      </c>
      <c r="L3" s="115">
        <f t="shared" si="0"/>
        <v>3219133.0400901916</v>
      </c>
      <c r="M3" s="115">
        <f t="shared" si="0"/>
        <v>3196514.8903700002</v>
      </c>
      <c r="O3" s="2"/>
      <c r="Q3" s="58"/>
      <c r="T3" s="2"/>
      <c r="U3" s="2"/>
      <c r="V3" s="2"/>
      <c r="W3" s="2"/>
    </row>
    <row r="4" spans="1:23" x14ac:dyDescent="0.25">
      <c r="A4" s="26" t="s">
        <v>13</v>
      </c>
      <c r="B4" s="26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  <c r="L4" s="7">
        <v>2069529.698531193</v>
      </c>
      <c r="M4" s="7">
        <v>2056628.12781</v>
      </c>
      <c r="O4" s="2"/>
      <c r="Q4" s="58"/>
      <c r="T4" s="2"/>
      <c r="U4" s="2"/>
      <c r="V4" s="2"/>
      <c r="W4" s="2"/>
    </row>
    <row r="5" spans="1:23" x14ac:dyDescent="0.25">
      <c r="A5" s="26" t="s">
        <v>144</v>
      </c>
      <c r="B5" s="26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  <c r="L5" s="7">
        <v>1316749.538140191</v>
      </c>
      <c r="M5" s="7">
        <v>1310816.0327199998</v>
      </c>
      <c r="O5" s="2"/>
      <c r="Q5" s="58"/>
      <c r="T5" s="2"/>
      <c r="U5" s="2"/>
      <c r="V5" s="2"/>
      <c r="W5" s="2"/>
    </row>
    <row r="6" spans="1:23" x14ac:dyDescent="0.25">
      <c r="A6" s="26" t="s">
        <v>145</v>
      </c>
      <c r="B6" s="26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  <c r="L6" s="7">
        <v>752780.16039100196</v>
      </c>
      <c r="M6" s="7">
        <v>745812.09509000008</v>
      </c>
      <c r="O6" s="2"/>
      <c r="Q6" s="58"/>
      <c r="T6" s="2"/>
      <c r="U6" s="2"/>
      <c r="V6" s="2"/>
      <c r="W6" s="2"/>
    </row>
    <row r="7" spans="1:23" x14ac:dyDescent="0.25">
      <c r="A7" s="26" t="s">
        <v>14</v>
      </c>
      <c r="B7" s="26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  <c r="L7" s="7">
        <v>36472.886679999996</v>
      </c>
      <c r="M7" s="7">
        <v>43418.225099999996</v>
      </c>
      <c r="O7" s="2"/>
      <c r="Q7" s="58"/>
      <c r="U7" s="58"/>
      <c r="V7" s="58"/>
    </row>
    <row r="8" spans="1:23" x14ac:dyDescent="0.25">
      <c r="A8" s="26" t="s">
        <v>15</v>
      </c>
      <c r="B8" s="26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  <c r="L8" s="7">
        <v>85568.964799999987</v>
      </c>
      <c r="M8" s="7">
        <v>90183.027699999991</v>
      </c>
      <c r="O8" s="2"/>
      <c r="Q8" s="58"/>
    </row>
    <row r="9" spans="1:23" x14ac:dyDescent="0.25">
      <c r="A9" s="26" t="s">
        <v>16</v>
      </c>
      <c r="B9" s="26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  <c r="L9" s="7">
        <v>402439.21091999998</v>
      </c>
      <c r="M9" s="7">
        <v>440507.19225000002</v>
      </c>
      <c r="O9" s="2"/>
      <c r="Q9" s="58"/>
    </row>
    <row r="10" spans="1:23" x14ac:dyDescent="0.25">
      <c r="A10" s="26" t="s">
        <v>17</v>
      </c>
      <c r="B10" s="26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  <c r="L10" s="7">
        <v>57768.706188998185</v>
      </c>
      <c r="M10" s="7">
        <v>56193.316300000006</v>
      </c>
      <c r="O10" s="2"/>
      <c r="Q10" s="58"/>
    </row>
    <row r="11" spans="1:23" x14ac:dyDescent="0.25">
      <c r="A11" s="26" t="s">
        <v>144</v>
      </c>
      <c r="B11" s="26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  <c r="L11" s="7">
        <v>16784.8089198089</v>
      </c>
      <c r="M11" s="7">
        <v>20448.595920000011</v>
      </c>
      <c r="O11" s="2"/>
      <c r="Q11" s="58"/>
    </row>
    <row r="12" spans="1:23" x14ac:dyDescent="0.25">
      <c r="A12" s="26" t="s">
        <v>145</v>
      </c>
      <c r="B12" s="26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  <c r="L12" s="7">
        <v>40983.897269189285</v>
      </c>
      <c r="M12" s="7">
        <v>35744.720379999999</v>
      </c>
      <c r="O12" s="2"/>
      <c r="Q12" s="58"/>
    </row>
    <row r="13" spans="1:23" x14ac:dyDescent="0.25">
      <c r="A13" s="26" t="s">
        <v>18</v>
      </c>
      <c r="B13" s="26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  <c r="L13" s="7">
        <v>108354.09752000001</v>
      </c>
      <c r="M13" s="7">
        <v>122556.53230000005</v>
      </c>
      <c r="O13" s="2"/>
      <c r="Q13" s="58"/>
    </row>
    <row r="14" spans="1:23" x14ac:dyDescent="0.25">
      <c r="A14" s="26" t="s">
        <v>46</v>
      </c>
      <c r="B14" s="26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  <c r="L14" s="7">
        <v>120529.7084479842</v>
      </c>
      <c r="M14" s="7">
        <v>94029.209241699791</v>
      </c>
      <c r="O14" s="2"/>
      <c r="Q14" s="58"/>
    </row>
    <row r="15" spans="1:23" x14ac:dyDescent="0.25">
      <c r="A15" s="26" t="s">
        <v>19</v>
      </c>
      <c r="B15" s="26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  <c r="L15" s="7">
        <v>332912.59500201582</v>
      </c>
      <c r="M15" s="7">
        <v>286887.61966830015</v>
      </c>
      <c r="O15" s="2"/>
      <c r="Q15" s="58"/>
    </row>
    <row r="16" spans="1:23" x14ac:dyDescent="0.25">
      <c r="A16" s="26" t="s">
        <v>11</v>
      </c>
      <c r="B16" s="26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  <c r="L16" s="7">
        <v>5557.1720000000005</v>
      </c>
      <c r="M16" s="7">
        <v>6111.64</v>
      </c>
      <c r="O16" s="2"/>
      <c r="Q16" s="58"/>
    </row>
    <row r="17" spans="1:20" x14ac:dyDescent="0.25">
      <c r="A17" s="34"/>
      <c r="B17" s="34"/>
      <c r="C17" s="35"/>
      <c r="D17" s="28"/>
      <c r="E17" s="28"/>
      <c r="F17" s="28"/>
      <c r="G17" s="28"/>
      <c r="H17" s="28"/>
      <c r="I17" s="27"/>
      <c r="J17" s="27"/>
      <c r="K17" s="27"/>
      <c r="L17" s="27"/>
      <c r="M17" s="27"/>
    </row>
    <row r="18" spans="1:20" ht="29.25" customHeight="1" x14ac:dyDescent="0.25">
      <c r="A18" s="175" t="s">
        <v>161</v>
      </c>
      <c r="B18" s="176"/>
      <c r="C18" s="129" t="s">
        <v>55</v>
      </c>
      <c r="D18" s="115"/>
      <c r="E18" s="130">
        <f t="shared" ref="E18:M18" si="1">((E4+E10)*1000)/E22/12</f>
        <v>17.698320055729582</v>
      </c>
      <c r="F18" s="130">
        <f t="shared" si="1"/>
        <v>16.829061413576056</v>
      </c>
      <c r="G18" s="130">
        <f t="shared" si="1"/>
        <v>17.23172690681351</v>
      </c>
      <c r="H18" s="130">
        <f t="shared" si="1"/>
        <v>17.412079332663986</v>
      </c>
      <c r="I18" s="130">
        <f t="shared" si="1"/>
        <v>17.661763858717332</v>
      </c>
      <c r="J18" s="130">
        <f t="shared" si="1"/>
        <v>17.28138400935434</v>
      </c>
      <c r="K18" s="130">
        <f t="shared" si="1"/>
        <v>17.273362224846544</v>
      </c>
      <c r="L18" s="130">
        <f t="shared" si="1"/>
        <v>16.81519670546307</v>
      </c>
      <c r="M18" s="130">
        <f t="shared" si="1"/>
        <v>16.4678937251586</v>
      </c>
      <c r="R18" s="31"/>
    </row>
    <row r="19" spans="1:20" x14ac:dyDescent="0.25">
      <c r="A19" s="12" t="s">
        <v>149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  <c r="L19" s="7">
        <v>10589631</v>
      </c>
      <c r="M19" s="7">
        <v>10793608</v>
      </c>
    </row>
    <row r="20" spans="1:20" x14ac:dyDescent="0.25">
      <c r="A20" s="12" t="s">
        <v>144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7">
        <v>7523027</v>
      </c>
      <c r="M20" s="7">
        <v>7633840</v>
      </c>
    </row>
    <row r="21" spans="1:20" x14ac:dyDescent="0.25">
      <c r="A21" s="12" t="s">
        <v>145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  <c r="L21" s="7">
        <v>3066604</v>
      </c>
      <c r="M21" s="7">
        <v>3159768</v>
      </c>
    </row>
    <row r="22" spans="1:20" x14ac:dyDescent="0.25">
      <c r="A22" s="12" t="s">
        <v>53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2">(G19+H19)/2</f>
        <v>10957958</v>
      </c>
      <c r="I22" s="8">
        <f t="shared" si="2"/>
        <v>10677828</v>
      </c>
      <c r="J22" s="8">
        <f t="shared" si="2"/>
        <v>10467870</v>
      </c>
      <c r="K22" s="8">
        <v>10469135.5</v>
      </c>
      <c r="L22" s="8">
        <v>10542539</v>
      </c>
      <c r="M22" s="8">
        <v>10691619.5</v>
      </c>
    </row>
    <row r="23" spans="1:20" x14ac:dyDescent="0.25">
      <c r="A23" s="12" t="s">
        <v>144</v>
      </c>
      <c r="B23" s="72"/>
      <c r="C23" s="45"/>
      <c r="D23" s="8"/>
      <c r="E23" s="8"/>
      <c r="F23" s="8"/>
      <c r="G23" s="8"/>
      <c r="H23" s="8">
        <f t="shared" si="2"/>
        <v>8314874</v>
      </c>
      <c r="I23" s="8">
        <f t="shared" si="2"/>
        <v>7916281</v>
      </c>
      <c r="J23" s="8">
        <f t="shared" si="2"/>
        <v>7559442</v>
      </c>
      <c r="K23" s="8">
        <v>7500030</v>
      </c>
      <c r="L23" s="8">
        <v>7514696.5</v>
      </c>
      <c r="M23" s="8">
        <v>7578433.5</v>
      </c>
    </row>
    <row r="24" spans="1:20" x14ac:dyDescent="0.25">
      <c r="A24" s="12" t="s">
        <v>145</v>
      </c>
      <c r="B24" s="46"/>
      <c r="C24" s="45"/>
      <c r="D24" s="8"/>
      <c r="E24" s="8"/>
      <c r="F24" s="8"/>
      <c r="G24" s="8"/>
      <c r="H24" s="8">
        <f t="shared" si="2"/>
        <v>2643084</v>
      </c>
      <c r="I24" s="8">
        <f t="shared" si="2"/>
        <v>2761547</v>
      </c>
      <c r="J24" s="8">
        <f t="shared" si="2"/>
        <v>2908428</v>
      </c>
      <c r="K24" s="8">
        <v>2969105.5</v>
      </c>
      <c r="L24" s="8">
        <v>3027842.5</v>
      </c>
      <c r="M24" s="8">
        <v>3113186</v>
      </c>
    </row>
    <row r="25" spans="1:20" x14ac:dyDescent="0.25">
      <c r="A25" s="45" t="s">
        <v>148</v>
      </c>
      <c r="B25" s="45"/>
      <c r="C25" s="45"/>
      <c r="D25" s="8"/>
      <c r="E25" s="8"/>
      <c r="F25" s="8"/>
      <c r="G25" s="8"/>
      <c r="H25" s="47">
        <f t="shared" ref="H25:J26" si="3">((H5+H11)*1000)/H23/12</f>
        <v>14.257494629303261</v>
      </c>
      <c r="I25" s="47">
        <f t="shared" si="3"/>
        <v>15.026903226611923</v>
      </c>
      <c r="J25" s="47">
        <f t="shared" si="3"/>
        <v>14.90011695847833</v>
      </c>
      <c r="K25" s="47">
        <f t="shared" ref="K25" si="4">((K5+K11)*1000)/K23/12</f>
        <v>15.017403850162369</v>
      </c>
      <c r="L25" s="47">
        <v>14.788070583422764</v>
      </c>
      <c r="M25" s="47">
        <f t="shared" ref="M25:M26" si="5">((M5+M11)*1000)/M23/12</f>
        <v>14.638740189952623</v>
      </c>
      <c r="Q25" s="156"/>
    </row>
    <row r="26" spans="1:20" x14ac:dyDescent="0.25">
      <c r="A26" s="87" t="s">
        <v>146</v>
      </c>
      <c r="B26" s="86"/>
      <c r="C26" s="45"/>
      <c r="D26" s="8"/>
      <c r="E26" s="8"/>
      <c r="F26" s="8"/>
      <c r="G26" s="8"/>
      <c r="H26" s="47">
        <f t="shared" si="3"/>
        <v>27.336082629862187</v>
      </c>
      <c r="I26" s="47">
        <f t="shared" si="3"/>
        <v>25.214884323291738</v>
      </c>
      <c r="J26" s="47">
        <f t="shared" si="3"/>
        <v>23.470655381246043</v>
      </c>
      <c r="K26" s="47">
        <f t="shared" ref="K26" si="6">((K6+K12)*1000)/K24/12</f>
        <v>22.971965891466869</v>
      </c>
      <c r="L26" s="47">
        <v>21.846250194657063</v>
      </c>
      <c r="M26" s="47">
        <f t="shared" si="5"/>
        <v>20.920605008020722</v>
      </c>
    </row>
    <row r="27" spans="1:20" x14ac:dyDescent="0.25">
      <c r="C27" s="4"/>
    </row>
    <row r="28" spans="1:20" x14ac:dyDescent="0.25">
      <c r="A28" s="115" t="s">
        <v>56</v>
      </c>
      <c r="B28" s="115"/>
      <c r="C28" s="131"/>
      <c r="D28" s="115">
        <v>13022097.964254312</v>
      </c>
      <c r="E28" s="115">
        <v>13250141.836668491</v>
      </c>
      <c r="F28" s="115">
        <f t="shared" ref="F28:J28" si="7">F29+F34+F38</f>
        <v>13894831</v>
      </c>
      <c r="G28" s="115">
        <f t="shared" si="7"/>
        <v>14220393</v>
      </c>
      <c r="H28" s="115">
        <f t="shared" si="7"/>
        <v>14571858</v>
      </c>
      <c r="I28" s="115">
        <f t="shared" si="7"/>
        <v>14145477</v>
      </c>
      <c r="J28" s="115">
        <f t="shared" si="7"/>
        <v>14383151</v>
      </c>
      <c r="K28" s="115">
        <v>15058364</v>
      </c>
      <c r="L28" s="115">
        <f>L29+L34+L38</f>
        <v>16085981</v>
      </c>
      <c r="M28" s="115">
        <f>M29+M34+M38</f>
        <v>17708938.203826845</v>
      </c>
      <c r="Q28" s="2"/>
      <c r="R28" s="2"/>
      <c r="S28" s="2"/>
      <c r="T28" s="58"/>
    </row>
    <row r="29" spans="1:20" x14ac:dyDescent="0.25">
      <c r="A29" s="118" t="s">
        <v>150</v>
      </c>
      <c r="B29" s="118"/>
      <c r="C29" s="132"/>
      <c r="D29" s="101">
        <f t="shared" ref="D29:J29" si="8">SUM(D30:D33)</f>
        <v>9967724.8370431699</v>
      </c>
      <c r="E29" s="101">
        <f t="shared" si="8"/>
        <v>9824719.4081682712</v>
      </c>
      <c r="F29" s="101">
        <f t="shared" si="8"/>
        <v>10199639</v>
      </c>
      <c r="G29" s="101">
        <f t="shared" si="8"/>
        <v>10127489</v>
      </c>
      <c r="H29" s="101">
        <f t="shared" si="8"/>
        <v>9884706</v>
      </c>
      <c r="I29" s="101">
        <f t="shared" si="8"/>
        <v>9081471</v>
      </c>
      <c r="J29" s="101">
        <f t="shared" si="8"/>
        <v>8949882</v>
      </c>
      <c r="K29" s="101">
        <v>8923113</v>
      </c>
      <c r="L29" s="101">
        <f>SUM(L30:L33)</f>
        <v>8889188</v>
      </c>
      <c r="M29" s="101">
        <f>SUM(M30:M33)</f>
        <v>9025954</v>
      </c>
      <c r="N29" s="2"/>
      <c r="O29" s="2"/>
      <c r="P29" s="2"/>
    </row>
    <row r="30" spans="1:20" x14ac:dyDescent="0.25">
      <c r="A30" s="26" t="s">
        <v>171</v>
      </c>
      <c r="B30" s="26"/>
      <c r="C30" s="15"/>
      <c r="D30" s="8">
        <v>4257134.5035158005</v>
      </c>
      <c r="E30" s="8">
        <v>3710958.2246453902</v>
      </c>
      <c r="F30" s="8">
        <v>3477453</v>
      </c>
      <c r="G30" s="8">
        <v>3224320</v>
      </c>
      <c r="H30" s="8">
        <v>2819534</v>
      </c>
      <c r="I30" s="7">
        <v>1987946</v>
      </c>
      <c r="J30" s="7">
        <v>1817382</v>
      </c>
      <c r="K30" s="7">
        <v>1662530</v>
      </c>
      <c r="L30" s="7">
        <v>1485027</v>
      </c>
      <c r="M30" s="7">
        <v>1280972</v>
      </c>
      <c r="N30" s="2"/>
    </row>
    <row r="31" spans="1:20" x14ac:dyDescent="0.25">
      <c r="A31" s="26" t="s">
        <v>69</v>
      </c>
      <c r="B31" s="26"/>
      <c r="C31" s="15"/>
      <c r="D31" s="8">
        <v>3874757.1435273699</v>
      </c>
      <c r="E31" s="8">
        <v>4155645.6375258798</v>
      </c>
      <c r="F31" s="8">
        <v>4218547</v>
      </c>
      <c r="G31" s="8">
        <v>4317682</v>
      </c>
      <c r="H31" s="8">
        <v>4379793</v>
      </c>
      <c r="I31" s="7">
        <v>5637244</v>
      </c>
      <c r="J31" s="7">
        <v>5676312</v>
      </c>
      <c r="K31" s="7">
        <v>5843836</v>
      </c>
      <c r="L31" s="7">
        <v>6038000</v>
      </c>
      <c r="M31" s="7">
        <v>6352868</v>
      </c>
      <c r="N31" s="2"/>
      <c r="O31" s="2"/>
    </row>
    <row r="32" spans="1:20" x14ac:dyDescent="0.25">
      <c r="A32" s="26" t="s">
        <v>70</v>
      </c>
      <c r="B32" s="26"/>
      <c r="C32" s="15"/>
      <c r="D32" s="8">
        <v>516102</v>
      </c>
      <c r="E32" s="8">
        <v>879669</v>
      </c>
      <c r="F32" s="8">
        <v>1637770</v>
      </c>
      <c r="G32" s="8">
        <v>1679122</v>
      </c>
      <c r="H32" s="8">
        <v>1776252</v>
      </c>
      <c r="I32" s="7">
        <v>571051</v>
      </c>
      <c r="J32" s="7">
        <v>905764</v>
      </c>
      <c r="K32" s="7">
        <v>912415</v>
      </c>
      <c r="L32" s="7">
        <v>1092090</v>
      </c>
      <c r="M32" s="7">
        <v>819260</v>
      </c>
    </row>
    <row r="33" spans="1:17" x14ac:dyDescent="0.25">
      <c r="A33" s="26" t="s">
        <v>71</v>
      </c>
      <c r="B33" s="26"/>
      <c r="C33" s="15"/>
      <c r="D33" s="8">
        <v>1319731.19</v>
      </c>
      <c r="E33" s="8">
        <v>1078446.545997001</v>
      </c>
      <c r="F33" s="8">
        <v>865869</v>
      </c>
      <c r="G33" s="8">
        <v>906365</v>
      </c>
      <c r="H33" s="8">
        <v>909127</v>
      </c>
      <c r="I33" s="7">
        <v>885230</v>
      </c>
      <c r="J33" s="7">
        <v>550424</v>
      </c>
      <c r="K33" s="7">
        <v>504332</v>
      </c>
      <c r="L33" s="7">
        <v>274071</v>
      </c>
      <c r="M33" s="7">
        <v>572854</v>
      </c>
    </row>
    <row r="34" spans="1:17" x14ac:dyDescent="0.25">
      <c r="A34" s="118" t="s">
        <v>151</v>
      </c>
      <c r="B34" s="118"/>
      <c r="C34" s="132"/>
      <c r="D34" s="101">
        <f t="shared" ref="D34:J34" si="9">SUM(D35:D37)</f>
        <v>2345649.9726170003</v>
      </c>
      <c r="E34" s="101">
        <f t="shared" si="9"/>
        <v>2489295.59825553</v>
      </c>
      <c r="F34" s="101">
        <f t="shared" si="9"/>
        <v>2535085</v>
      </c>
      <c r="G34" s="101">
        <f t="shared" si="9"/>
        <v>2646601</v>
      </c>
      <c r="H34" s="101">
        <f t="shared" si="9"/>
        <v>2666115</v>
      </c>
      <c r="I34" s="101">
        <f t="shared" si="9"/>
        <v>2879618</v>
      </c>
      <c r="J34" s="101">
        <f t="shared" si="9"/>
        <v>2966853</v>
      </c>
      <c r="K34" s="101">
        <v>3031729</v>
      </c>
      <c r="L34" s="101">
        <f>SUM(L35:L37)</f>
        <v>3107169</v>
      </c>
      <c r="M34" s="101">
        <f>SUM(M35:M37)</f>
        <v>3226249</v>
      </c>
    </row>
    <row r="35" spans="1:17" x14ac:dyDescent="0.25">
      <c r="A35" s="26" t="s">
        <v>72</v>
      </c>
      <c r="B35" s="26"/>
      <c r="C35" s="15"/>
      <c r="D35" s="8">
        <v>2340174.9726170003</v>
      </c>
      <c r="E35" s="8">
        <v>2375409.59825553</v>
      </c>
      <c r="F35" s="8">
        <v>2415457</v>
      </c>
      <c r="G35" s="8">
        <v>2511919</v>
      </c>
      <c r="H35" s="8">
        <v>2505756</v>
      </c>
      <c r="I35" s="8">
        <v>2867726</v>
      </c>
      <c r="J35" s="8">
        <v>2949130</v>
      </c>
      <c r="K35" s="8">
        <v>2989081</v>
      </c>
      <c r="L35" s="8">
        <v>3066604</v>
      </c>
      <c r="M35" s="8">
        <v>3159768</v>
      </c>
    </row>
    <row r="36" spans="1:17" x14ac:dyDescent="0.25">
      <c r="A36" s="26" t="s">
        <v>70</v>
      </c>
      <c r="B36" s="26"/>
      <c r="C36" s="15"/>
      <c r="D36" s="8">
        <v>5475</v>
      </c>
      <c r="E36" s="8">
        <v>86456</v>
      </c>
      <c r="F36" s="8">
        <v>104201</v>
      </c>
      <c r="G36" s="8">
        <v>118881</v>
      </c>
      <c r="H36" s="8">
        <v>149612</v>
      </c>
      <c r="I36" s="8">
        <v>0</v>
      </c>
      <c r="J36" s="8">
        <v>0</v>
      </c>
      <c r="K36" s="8">
        <v>15121</v>
      </c>
      <c r="L36" s="8">
        <v>16843</v>
      </c>
      <c r="M36" s="8">
        <v>0</v>
      </c>
    </row>
    <row r="37" spans="1:17" x14ac:dyDescent="0.25">
      <c r="A37" s="26" t="s">
        <v>71</v>
      </c>
      <c r="B37" s="26"/>
      <c r="C37" s="15"/>
      <c r="D37" s="8">
        <v>0</v>
      </c>
      <c r="E37" s="8">
        <v>27430</v>
      </c>
      <c r="F37" s="8">
        <v>15427</v>
      </c>
      <c r="G37" s="8">
        <v>15801</v>
      </c>
      <c r="H37" s="8">
        <v>10747</v>
      </c>
      <c r="I37" s="8">
        <v>11892</v>
      </c>
      <c r="J37" s="8">
        <v>17723</v>
      </c>
      <c r="K37" s="8">
        <v>27527</v>
      </c>
      <c r="L37" s="8">
        <v>23722</v>
      </c>
      <c r="M37" s="8">
        <v>66481</v>
      </c>
    </row>
    <row r="38" spans="1:17" x14ac:dyDescent="0.25">
      <c r="A38" s="119" t="s">
        <v>14</v>
      </c>
      <c r="B38" s="119"/>
      <c r="C38" s="132"/>
      <c r="D38" s="101">
        <v>708723.15459414106</v>
      </c>
      <c r="E38" s="101">
        <v>936126.83024469099</v>
      </c>
      <c r="F38" s="101">
        <v>1160107</v>
      </c>
      <c r="G38" s="101">
        <v>1446303</v>
      </c>
      <c r="H38" s="101">
        <v>2021037</v>
      </c>
      <c r="I38" s="101">
        <v>2184388</v>
      </c>
      <c r="J38" s="101">
        <v>2466416</v>
      </c>
      <c r="K38" s="101">
        <v>3103522</v>
      </c>
      <c r="L38" s="101">
        <v>4089624</v>
      </c>
      <c r="M38" s="101">
        <v>5456735.2038268456</v>
      </c>
    </row>
    <row r="39" spans="1:17" x14ac:dyDescent="0.25">
      <c r="A39" s="36"/>
      <c r="B39" s="36"/>
      <c r="C39" s="17"/>
      <c r="D39" s="13"/>
      <c r="E39" s="13"/>
      <c r="F39" s="13"/>
      <c r="G39" s="13"/>
      <c r="H39" s="13"/>
      <c r="I39" s="14"/>
      <c r="J39" s="14"/>
      <c r="K39" s="14"/>
      <c r="L39" s="14"/>
      <c r="M39" s="14"/>
    </row>
    <row r="40" spans="1:17" x14ac:dyDescent="0.25">
      <c r="A40" s="115" t="s">
        <v>57</v>
      </c>
      <c r="B40" s="115"/>
      <c r="C40" s="131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7" x14ac:dyDescent="0.25">
      <c r="A41" s="118" t="s">
        <v>73</v>
      </c>
      <c r="B41" s="118"/>
      <c r="C41" s="132"/>
      <c r="D41" s="101">
        <v>12404654</v>
      </c>
      <c r="E41" s="101">
        <f t="shared" ref="E41:M41" si="10">((D28-D38)+(E28-E38))/2</f>
        <v>12313694.908041986</v>
      </c>
      <c r="F41" s="101">
        <f t="shared" si="10"/>
        <v>12524369.503211901</v>
      </c>
      <c r="G41" s="101">
        <f t="shared" si="10"/>
        <v>12754407</v>
      </c>
      <c r="H41" s="101">
        <f t="shared" si="10"/>
        <v>12662455.5</v>
      </c>
      <c r="I41" s="101">
        <f t="shared" si="10"/>
        <v>12255955</v>
      </c>
      <c r="J41" s="101">
        <f t="shared" si="10"/>
        <v>11938912</v>
      </c>
      <c r="K41" s="101">
        <f t="shared" si="10"/>
        <v>11935788.5</v>
      </c>
      <c r="L41" s="101">
        <f t="shared" si="10"/>
        <v>11975599.5</v>
      </c>
      <c r="M41" s="101">
        <f t="shared" si="10"/>
        <v>12124280</v>
      </c>
    </row>
    <row r="42" spans="1:17" x14ac:dyDescent="0.25">
      <c r="A42" s="118" t="s">
        <v>74</v>
      </c>
      <c r="B42" s="118"/>
      <c r="C42" s="132"/>
      <c r="D42" s="101"/>
      <c r="E42" s="101">
        <f t="shared" ref="E42:M42" si="11">((D30+D31+D35)+(E30+E31+E35))/2</f>
        <v>10357040.040043484</v>
      </c>
      <c r="F42" s="101">
        <f t="shared" si="11"/>
        <v>10176735.2302134</v>
      </c>
      <c r="G42" s="101">
        <f t="shared" si="11"/>
        <v>10082689</v>
      </c>
      <c r="H42" s="101">
        <f t="shared" si="11"/>
        <v>9879502</v>
      </c>
      <c r="I42" s="101">
        <f t="shared" si="11"/>
        <v>10098999.5</v>
      </c>
      <c r="J42" s="101">
        <f t="shared" si="11"/>
        <v>10467870</v>
      </c>
      <c r="K42" s="101">
        <f t="shared" si="11"/>
        <v>10469135.5</v>
      </c>
      <c r="L42" s="101">
        <f t="shared" si="11"/>
        <v>10542539</v>
      </c>
      <c r="M42" s="101">
        <f t="shared" si="11"/>
        <v>10691619.5</v>
      </c>
    </row>
    <row r="43" spans="1:17" x14ac:dyDescent="0.25">
      <c r="A43" s="12" t="s">
        <v>75</v>
      </c>
      <c r="B43" s="12"/>
      <c r="C43" s="15"/>
      <c r="D43" s="7"/>
      <c r="E43" s="8">
        <f t="shared" ref="E43:M43" si="12">(D30+D31+E30+E31)/2</f>
        <v>7999247.7546072192</v>
      </c>
      <c r="F43" s="8">
        <f t="shared" si="12"/>
        <v>7781301.931085635</v>
      </c>
      <c r="G43" s="8">
        <f t="shared" si="12"/>
        <v>7619001</v>
      </c>
      <c r="H43" s="8">
        <f t="shared" si="12"/>
        <v>7370664.5</v>
      </c>
      <c r="I43" s="8">
        <f t="shared" si="12"/>
        <v>7412258.5</v>
      </c>
      <c r="J43" s="8">
        <f t="shared" si="12"/>
        <v>7559442</v>
      </c>
      <c r="K43" s="8">
        <f t="shared" si="12"/>
        <v>7500030</v>
      </c>
      <c r="L43" s="8">
        <f t="shared" si="12"/>
        <v>7514696.5</v>
      </c>
      <c r="M43" s="8">
        <f t="shared" si="12"/>
        <v>7578433.5</v>
      </c>
    </row>
    <row r="44" spans="1:17" x14ac:dyDescent="0.25">
      <c r="A44" s="12" t="s">
        <v>54</v>
      </c>
      <c r="B44" s="12"/>
      <c r="C44" s="15"/>
      <c r="D44" s="7"/>
      <c r="E44" s="8">
        <f t="shared" ref="E44:M44" si="13">(D35+E35)/2</f>
        <v>2357792.2854362652</v>
      </c>
      <c r="F44" s="8">
        <f t="shared" si="13"/>
        <v>2395433.299127765</v>
      </c>
      <c r="G44" s="8">
        <f t="shared" si="13"/>
        <v>2463688</v>
      </c>
      <c r="H44" s="8">
        <f t="shared" si="13"/>
        <v>2508837.5</v>
      </c>
      <c r="I44" s="8">
        <f t="shared" si="13"/>
        <v>2686741</v>
      </c>
      <c r="J44" s="8">
        <f t="shared" si="13"/>
        <v>2908428</v>
      </c>
      <c r="K44" s="8">
        <f t="shared" si="13"/>
        <v>2969105.5</v>
      </c>
      <c r="L44" s="8">
        <f t="shared" si="13"/>
        <v>3027842.5</v>
      </c>
      <c r="M44" s="8">
        <f t="shared" si="13"/>
        <v>3113186</v>
      </c>
    </row>
    <row r="45" spans="1:17" x14ac:dyDescent="0.25">
      <c r="A45" s="24"/>
      <c r="B45" s="24"/>
      <c r="C45" s="15"/>
      <c r="D45" s="27"/>
      <c r="E45" s="27"/>
      <c r="F45" s="28"/>
      <c r="G45" s="28"/>
      <c r="H45" s="28"/>
      <c r="I45" s="25"/>
      <c r="J45" s="25"/>
      <c r="K45" s="25"/>
      <c r="L45" s="25"/>
      <c r="M45" s="25"/>
    </row>
    <row r="46" spans="1:17" x14ac:dyDescent="0.25">
      <c r="A46" s="115" t="s">
        <v>233</v>
      </c>
      <c r="B46" s="115"/>
      <c r="C46" s="131"/>
      <c r="D46" s="134">
        <v>3287962</v>
      </c>
      <c r="E46" s="134">
        <v>5171818</v>
      </c>
      <c r="F46" s="134">
        <v>5257131</v>
      </c>
      <c r="G46" s="134">
        <v>6066255</v>
      </c>
      <c r="H46" s="134">
        <v>6293280</v>
      </c>
      <c r="I46" s="134">
        <v>8305787</v>
      </c>
      <c r="J46" s="134">
        <f>J47+J50</f>
        <v>8701057.5</v>
      </c>
      <c r="K46" s="134">
        <f t="shared" ref="K46:M46" si="14">K47+K50</f>
        <v>10037211</v>
      </c>
      <c r="L46" s="134">
        <f t="shared" si="14"/>
        <v>10337943</v>
      </c>
      <c r="M46" s="134">
        <f t="shared" si="14"/>
        <v>10822349</v>
      </c>
      <c r="O46" s="2"/>
      <c r="Q46" s="58"/>
    </row>
    <row r="47" spans="1:17" x14ac:dyDescent="0.25">
      <c r="A47" s="29" t="s">
        <v>202</v>
      </c>
      <c r="B47" s="29"/>
      <c r="C47" s="15"/>
      <c r="D47" s="37" t="s">
        <v>45</v>
      </c>
      <c r="E47" s="10">
        <f>E48+E49</f>
        <v>5171818</v>
      </c>
      <c r="F47" s="10">
        <f t="shared" ref="F47:I47" si="15">F48+F49</f>
        <v>5257131</v>
      </c>
      <c r="G47" s="10">
        <f t="shared" si="15"/>
        <v>6066255</v>
      </c>
      <c r="H47" s="10">
        <f t="shared" si="15"/>
        <v>6293280</v>
      </c>
      <c r="I47" s="10">
        <f t="shared" si="15"/>
        <v>8305787</v>
      </c>
      <c r="J47" s="10">
        <f>J48+J49</f>
        <v>8367449</v>
      </c>
      <c r="K47" s="10">
        <f t="shared" ref="K47:M47" si="16">K48+K49</f>
        <v>8681280</v>
      </c>
      <c r="L47" s="10">
        <f t="shared" si="16"/>
        <v>8960095</v>
      </c>
      <c r="M47" s="10">
        <f t="shared" si="16"/>
        <v>9337621</v>
      </c>
      <c r="Q47" s="58"/>
    </row>
    <row r="48" spans="1:17" x14ac:dyDescent="0.25">
      <c r="A48" s="29" t="s">
        <v>234</v>
      </c>
      <c r="B48" s="29"/>
      <c r="C48" s="15"/>
      <c r="D48" s="37"/>
      <c r="E48" s="10">
        <v>4684859</v>
      </c>
      <c r="F48" s="10">
        <v>3804592</v>
      </c>
      <c r="G48" s="10">
        <v>3283231</v>
      </c>
      <c r="H48" s="10">
        <v>2267354</v>
      </c>
      <c r="I48" s="10">
        <v>2459918</v>
      </c>
      <c r="J48" s="10">
        <v>5878932</v>
      </c>
      <c r="K48" s="10">
        <v>6089024</v>
      </c>
      <c r="L48" s="10">
        <v>6263318</v>
      </c>
      <c r="M48" s="10">
        <v>6558986</v>
      </c>
    </row>
    <row r="49" spans="1:20" x14ac:dyDescent="0.25">
      <c r="A49" s="29" t="s">
        <v>235</v>
      </c>
      <c r="B49" s="29"/>
      <c r="C49" s="15"/>
      <c r="D49" s="37"/>
      <c r="E49" s="10">
        <v>486959</v>
      </c>
      <c r="F49" s="10">
        <v>1452539</v>
      </c>
      <c r="G49" s="10">
        <v>2783024</v>
      </c>
      <c r="H49" s="10">
        <v>4025926</v>
      </c>
      <c r="I49" s="10">
        <v>5845869</v>
      </c>
      <c r="J49" s="10">
        <v>2488517</v>
      </c>
      <c r="K49" s="10">
        <v>2592256</v>
      </c>
      <c r="L49" s="10">
        <v>2696777</v>
      </c>
      <c r="M49" s="10">
        <v>2778635</v>
      </c>
    </row>
    <row r="50" spans="1:20" x14ac:dyDescent="0.25">
      <c r="A50" s="29" t="s">
        <v>5</v>
      </c>
      <c r="B50" s="29"/>
      <c r="C50" s="15"/>
      <c r="D50" s="37" t="s">
        <v>45</v>
      </c>
      <c r="E50" s="10"/>
      <c r="F50" s="10"/>
      <c r="G50" s="10"/>
      <c r="H50" s="10"/>
      <c r="I50" s="10"/>
      <c r="J50" s="10">
        <v>333608.5</v>
      </c>
      <c r="K50" s="10">
        <v>1355931</v>
      </c>
      <c r="L50" s="10">
        <v>1377848</v>
      </c>
      <c r="M50" s="10">
        <v>1484728</v>
      </c>
    </row>
    <row r="51" spans="1:20" x14ac:dyDescent="0.25">
      <c r="A51" s="38"/>
      <c r="B51" s="38"/>
      <c r="C51" s="1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20" x14ac:dyDescent="0.25">
      <c r="A52" s="115" t="s">
        <v>207</v>
      </c>
      <c r="B52" s="115"/>
      <c r="C52" s="131"/>
      <c r="D52" s="134">
        <f t="shared" ref="D52:K52" si="17">SUM(D53:D56)</f>
        <v>3638434</v>
      </c>
      <c r="E52" s="134">
        <f t="shared" si="17"/>
        <v>5719883</v>
      </c>
      <c r="F52" s="134">
        <f t="shared" si="17"/>
        <v>5992209</v>
      </c>
      <c r="G52" s="134">
        <f t="shared" si="17"/>
        <v>6940277</v>
      </c>
      <c r="H52" s="134">
        <f t="shared" si="17"/>
        <v>7480397</v>
      </c>
      <c r="I52" s="134">
        <f t="shared" si="17"/>
        <v>8588776</v>
      </c>
      <c r="J52" s="134">
        <f t="shared" si="17"/>
        <v>8696567</v>
      </c>
      <c r="K52" s="134">
        <f t="shared" si="17"/>
        <v>10037211</v>
      </c>
      <c r="L52" s="134">
        <f>SUM(L53:L56)</f>
        <v>10337943</v>
      </c>
      <c r="M52" s="134">
        <f>SUM(M53:M56)</f>
        <v>10822349</v>
      </c>
      <c r="O52" s="58"/>
    </row>
    <row r="53" spans="1:20" s="41" customFormat="1" x14ac:dyDescent="0.25">
      <c r="A53" s="29" t="s">
        <v>169</v>
      </c>
      <c r="B53" s="29"/>
      <c r="C53" s="32"/>
      <c r="D53" s="42">
        <v>2827488</v>
      </c>
      <c r="E53" s="42">
        <v>4730364</v>
      </c>
      <c r="F53" s="42">
        <v>4637895</v>
      </c>
      <c r="G53" s="42">
        <v>5445840</v>
      </c>
      <c r="H53" s="42">
        <v>5710830</v>
      </c>
      <c r="I53" s="42">
        <v>7718640</v>
      </c>
      <c r="J53" s="42">
        <v>7947083</v>
      </c>
      <c r="K53" s="42">
        <v>8289193</v>
      </c>
      <c r="L53" s="42">
        <v>8582282</v>
      </c>
      <c r="M53" s="42">
        <v>8989893</v>
      </c>
    </row>
    <row r="54" spans="1:20" s="41" customFormat="1" x14ac:dyDescent="0.25">
      <c r="A54" s="29" t="s">
        <v>83</v>
      </c>
      <c r="B54" s="29"/>
      <c r="C54" s="32"/>
      <c r="D54" s="42">
        <v>337943</v>
      </c>
      <c r="E54" s="42">
        <v>520645</v>
      </c>
      <c r="F54" s="42">
        <v>702701</v>
      </c>
      <c r="G54" s="42">
        <v>840800</v>
      </c>
      <c r="H54" s="42">
        <v>1158931</v>
      </c>
      <c r="I54" s="42">
        <v>282652</v>
      </c>
      <c r="J54" s="42">
        <f>328692</f>
        <v>328692</v>
      </c>
      <c r="K54" s="42">
        <v>1355094</v>
      </c>
      <c r="L54" s="42">
        <v>1376665</v>
      </c>
      <c r="M54" s="42">
        <v>1484366</v>
      </c>
    </row>
    <row r="55" spans="1:20" s="41" customFormat="1" x14ac:dyDescent="0.25">
      <c r="A55" s="29" t="s">
        <v>170</v>
      </c>
      <c r="B55" s="29"/>
      <c r="C55" s="32"/>
      <c r="D55" s="42">
        <v>460474</v>
      </c>
      <c r="E55" s="42">
        <v>441454</v>
      </c>
      <c r="F55" s="42">
        <v>619236</v>
      </c>
      <c r="G55" s="42">
        <v>620415</v>
      </c>
      <c r="H55" s="42">
        <v>582450</v>
      </c>
      <c r="I55" s="42">
        <v>587147</v>
      </c>
      <c r="J55" s="42">
        <v>420366</v>
      </c>
      <c r="K55" s="42">
        <v>392087</v>
      </c>
      <c r="L55" s="42">
        <v>377813</v>
      </c>
      <c r="M55" s="42">
        <v>347728</v>
      </c>
    </row>
    <row r="56" spans="1:20" s="41" customFormat="1" x14ac:dyDescent="0.25">
      <c r="A56" s="29" t="s">
        <v>152</v>
      </c>
      <c r="B56" s="29"/>
      <c r="C56" s="32"/>
      <c r="D56" s="42">
        <v>12529</v>
      </c>
      <c r="E56" s="42">
        <v>27420</v>
      </c>
      <c r="F56" s="42">
        <v>32377</v>
      </c>
      <c r="G56" s="42">
        <v>33222</v>
      </c>
      <c r="H56" s="42">
        <v>28186</v>
      </c>
      <c r="I56" s="42">
        <v>337</v>
      </c>
      <c r="J56" s="42">
        <v>426</v>
      </c>
      <c r="K56" s="42">
        <v>837</v>
      </c>
      <c r="L56" s="42">
        <v>1183</v>
      </c>
      <c r="M56" s="42">
        <v>362</v>
      </c>
    </row>
    <row r="57" spans="1:20" s="41" customFormat="1" x14ac:dyDescent="0.25">
      <c r="A57" s="164"/>
      <c r="B57" s="164"/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20" s="41" customFormat="1" x14ac:dyDescent="0.25">
      <c r="A58" s="115" t="s">
        <v>236</v>
      </c>
      <c r="B58" s="115"/>
      <c r="C58" s="131"/>
      <c r="D58" s="134"/>
      <c r="E58" s="134"/>
      <c r="F58" s="134"/>
      <c r="G58" s="134"/>
      <c r="H58" s="134"/>
      <c r="I58" s="134"/>
      <c r="J58" s="134"/>
      <c r="K58" s="134"/>
      <c r="L58" s="134"/>
      <c r="M58" s="134"/>
    </row>
    <row r="59" spans="1:20" s="41" customFormat="1" x14ac:dyDescent="0.25">
      <c r="A59" s="29" t="s">
        <v>237</v>
      </c>
      <c r="B59" s="29"/>
      <c r="C59" s="32"/>
      <c r="D59" s="42"/>
      <c r="E59" s="42"/>
      <c r="F59" s="42"/>
      <c r="G59" s="42"/>
      <c r="H59" s="42"/>
      <c r="I59" s="42"/>
      <c r="J59" s="42"/>
      <c r="K59" s="42"/>
      <c r="L59" s="42"/>
      <c r="M59" s="42">
        <v>7994651</v>
      </c>
    </row>
    <row r="60" spans="1:20" s="41" customFormat="1" x14ac:dyDescent="0.25">
      <c r="A60" s="29" t="s">
        <v>241</v>
      </c>
      <c r="B60" s="29"/>
      <c r="C60" s="32"/>
      <c r="D60" s="42"/>
      <c r="E60" s="42"/>
      <c r="F60" s="42"/>
      <c r="G60" s="42"/>
      <c r="H60" s="42"/>
      <c r="I60" s="42"/>
      <c r="J60" s="42"/>
      <c r="K60" s="42"/>
      <c r="L60" s="42">
        <v>7884594</v>
      </c>
      <c r="M60" s="42">
        <v>8448278.5647315644</v>
      </c>
      <c r="O60" s="171"/>
      <c r="P60" s="171"/>
    </row>
    <row r="61" spans="1:20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20" x14ac:dyDescent="0.25">
      <c r="A62" s="115" t="s">
        <v>58</v>
      </c>
      <c r="B62" s="115"/>
      <c r="C62" s="131"/>
      <c r="D62" s="134"/>
      <c r="E62" s="134"/>
      <c r="F62" s="134"/>
      <c r="G62" s="134"/>
      <c r="H62" s="134"/>
      <c r="I62" s="134"/>
      <c r="J62" s="134"/>
      <c r="K62" s="134"/>
      <c r="L62" s="134"/>
      <c r="M62" s="134"/>
    </row>
    <row r="63" spans="1:20" x14ac:dyDescent="0.25">
      <c r="A63" s="135" t="s">
        <v>147</v>
      </c>
      <c r="B63" s="101"/>
      <c r="C63" s="136" t="s">
        <v>48</v>
      </c>
      <c r="D63" s="122">
        <f t="shared" ref="D63:I63" si="18">SUM(D64:D72)</f>
        <v>15338304.884585328</v>
      </c>
      <c r="E63" s="122">
        <f t="shared" si="18"/>
        <v>15404685.862449881</v>
      </c>
      <c r="F63" s="122">
        <f t="shared" si="18"/>
        <v>16135463.266938888</v>
      </c>
      <c r="G63" s="122">
        <f t="shared" si="18"/>
        <v>16377149.788910003</v>
      </c>
      <c r="H63" s="122">
        <f t="shared" si="18"/>
        <v>17257503.005011991</v>
      </c>
      <c r="I63" s="122">
        <f t="shared" si="18"/>
        <v>17713318.885306112</v>
      </c>
      <c r="J63" s="122">
        <f>J64+J65+J66+J67+J68+J69+J72</f>
        <v>18158314.279370885</v>
      </c>
      <c r="K63" s="122">
        <v>18616336.172256369</v>
      </c>
      <c r="L63" s="122">
        <f>L64+L65+L66+L67+L68+L69+L72</f>
        <v>21910773.743441228</v>
      </c>
      <c r="M63" s="122">
        <f>M64+M65+M66+M67+M68+M69+M72</f>
        <v>21793572.604247972</v>
      </c>
      <c r="N63" s="2"/>
      <c r="O63" s="2"/>
      <c r="P63" s="2"/>
      <c r="Q63" s="2"/>
      <c r="T63" s="2"/>
    </row>
    <row r="64" spans="1:20" x14ac:dyDescent="0.25">
      <c r="A64" s="12" t="s">
        <v>76</v>
      </c>
      <c r="B64" s="12"/>
      <c r="C64" s="17"/>
      <c r="D64" s="7">
        <v>2425253.3404536541</v>
      </c>
      <c r="E64" s="7">
        <v>2520387.7089148359</v>
      </c>
      <c r="F64" s="7">
        <v>2667132.7690635622</v>
      </c>
      <c r="G64" s="7">
        <v>2391292.8307052879</v>
      </c>
      <c r="H64" s="7">
        <v>2553945.4535587914</v>
      </c>
      <c r="I64" s="7">
        <v>2741666.8155227597</v>
      </c>
      <c r="J64" s="7">
        <v>2728638.6914708922</v>
      </c>
      <c r="K64" s="7">
        <v>2735411.3263192503</v>
      </c>
      <c r="L64" s="7">
        <v>3669487.1087174374</v>
      </c>
      <c r="M64" s="7">
        <v>3654369.5204276238</v>
      </c>
      <c r="N64" s="58"/>
      <c r="O64" s="58"/>
    </row>
    <row r="65" spans="1:15" x14ac:dyDescent="0.25">
      <c r="A65" s="12" t="s">
        <v>77</v>
      </c>
      <c r="B65" s="12"/>
      <c r="C65" s="17"/>
      <c r="D65" s="7">
        <v>3781168.86075335</v>
      </c>
      <c r="E65" s="7">
        <v>4275267.4064993197</v>
      </c>
      <c r="F65" s="7">
        <v>4767712.5369992303</v>
      </c>
      <c r="G65" s="7">
        <v>5617277.8474139404</v>
      </c>
      <c r="H65" s="7">
        <v>6427727.2695421297</v>
      </c>
      <c r="I65" s="7">
        <v>6026743.2478973195</v>
      </c>
      <c r="J65" s="7">
        <v>5942728.8386173295</v>
      </c>
      <c r="K65" s="7">
        <v>6322738.8511752943</v>
      </c>
      <c r="L65" s="7">
        <v>8278065.9263626598</v>
      </c>
      <c r="M65" s="7">
        <v>7937246.1644620597</v>
      </c>
      <c r="O65" s="58"/>
    </row>
    <row r="66" spans="1:15" x14ac:dyDescent="0.25">
      <c r="A66" s="12" t="s">
        <v>78</v>
      </c>
      <c r="B66" s="12"/>
      <c r="C66" s="17"/>
      <c r="D66" s="7">
        <v>7454321.5880035702</v>
      </c>
      <c r="E66" s="7">
        <v>7032145.87231634</v>
      </c>
      <c r="F66" s="7">
        <v>6890117.9548283601</v>
      </c>
      <c r="G66" s="7">
        <v>6701685.9662899999</v>
      </c>
      <c r="H66" s="7">
        <v>6560970.2611386701</v>
      </c>
      <c r="I66" s="7">
        <v>6994097.0296749081</v>
      </c>
      <c r="J66" s="7">
        <v>7401100.9575493298</v>
      </c>
      <c r="K66" s="7">
        <v>7554087.2907137368</v>
      </c>
      <c r="L66" s="7">
        <v>8435091.48275741</v>
      </c>
      <c r="M66" s="7">
        <v>8679733.6111800391</v>
      </c>
      <c r="O66" s="58"/>
    </row>
    <row r="67" spans="1:15" x14ac:dyDescent="0.25">
      <c r="A67" s="12" t="s">
        <v>79</v>
      </c>
      <c r="B67" s="12"/>
      <c r="C67" s="17"/>
      <c r="D67" s="7">
        <v>855151.43139977939</v>
      </c>
      <c r="E67" s="7">
        <v>713304.91900629154</v>
      </c>
      <c r="F67" s="7">
        <v>920196.58679662272</v>
      </c>
      <c r="G67" s="7">
        <v>740723.701436667</v>
      </c>
      <c r="H67" s="7">
        <v>758937.41261607083</v>
      </c>
      <c r="I67" s="7">
        <v>701415.76807501947</v>
      </c>
      <c r="J67" s="7">
        <v>652402.80072000017</v>
      </c>
      <c r="K67" s="7">
        <v>600547.81560533517</v>
      </c>
      <c r="L67" s="7">
        <v>491081.67990225693</v>
      </c>
      <c r="M67" s="7">
        <v>388138.75463570212</v>
      </c>
      <c r="O67" s="58"/>
    </row>
    <row r="68" spans="1:15" x14ac:dyDescent="0.25">
      <c r="A68" s="12" t="s">
        <v>80</v>
      </c>
      <c r="B68" s="12"/>
      <c r="C68" s="17"/>
      <c r="D68" s="7">
        <v>248421.406025907</v>
      </c>
      <c r="E68" s="7">
        <v>277623.85634779168</v>
      </c>
      <c r="F68" s="7">
        <v>284932.79609657882</v>
      </c>
      <c r="G68" s="7">
        <v>307617.92471410631</v>
      </c>
      <c r="H68" s="7">
        <v>298494.76783966069</v>
      </c>
      <c r="I68" s="7">
        <v>357041.2428174403</v>
      </c>
      <c r="J68" s="7">
        <v>348753.49469666672</v>
      </c>
      <c r="K68" s="7">
        <v>237637.63909652596</v>
      </c>
      <c r="L68" s="7">
        <v>183699.96465350149</v>
      </c>
      <c r="M68" s="7">
        <v>155556.19564254489</v>
      </c>
      <c r="O68" s="58"/>
    </row>
    <row r="69" spans="1:15" x14ac:dyDescent="0.25">
      <c r="A69" s="12" t="s">
        <v>81</v>
      </c>
      <c r="B69" s="12"/>
      <c r="C69" s="17"/>
      <c r="D69" s="7">
        <v>273350.43256536667</v>
      </c>
      <c r="E69" s="7">
        <v>258519.43628349999</v>
      </c>
      <c r="F69" s="7">
        <v>267444.06754976691</v>
      </c>
      <c r="G69" s="7">
        <v>266562.67632533167</v>
      </c>
      <c r="H69" s="7">
        <v>278855.20778333338</v>
      </c>
      <c r="I69" s="7">
        <v>383491.29933745146</v>
      </c>
      <c r="J69" s="7">
        <v>472862.66844731895</v>
      </c>
      <c r="K69" s="7">
        <v>526530.64348409278</v>
      </c>
      <c r="L69" s="7">
        <v>385799.22362470091</v>
      </c>
      <c r="M69" s="7">
        <v>448467.14403333329</v>
      </c>
    </row>
    <row r="70" spans="1:15" x14ac:dyDescent="0.25">
      <c r="A70" s="12" t="s">
        <v>200</v>
      </c>
      <c r="B70" s="12"/>
      <c r="C70" s="17"/>
      <c r="D70" s="7"/>
      <c r="E70" s="7"/>
      <c r="F70" s="7"/>
      <c r="G70" s="7"/>
      <c r="H70" s="7"/>
      <c r="I70" s="7"/>
      <c r="J70" s="7">
        <v>459797.96543065232</v>
      </c>
      <c r="K70" s="7">
        <v>518481.08316742611</v>
      </c>
      <c r="L70" s="7">
        <v>373665.66062470095</v>
      </c>
      <c r="M70" s="7">
        <v>438874.66200000001</v>
      </c>
    </row>
    <row r="71" spans="1:15" x14ac:dyDescent="0.25">
      <c r="A71" s="12" t="s">
        <v>201</v>
      </c>
      <c r="B71" s="12"/>
      <c r="C71" s="17"/>
      <c r="D71" s="7"/>
      <c r="E71" s="7"/>
      <c r="F71" s="7"/>
      <c r="G71" s="7"/>
      <c r="H71" s="7"/>
      <c r="I71" s="7"/>
      <c r="J71" s="7">
        <f>J69-J70</f>
        <v>13064.703016666637</v>
      </c>
      <c r="K71" s="7">
        <v>8049.5603166666697</v>
      </c>
      <c r="L71" s="7">
        <v>12133.562999999966</v>
      </c>
      <c r="M71" s="7">
        <v>9592.4820333332755</v>
      </c>
    </row>
    <row r="72" spans="1:15" x14ac:dyDescent="0.25">
      <c r="A72" s="12" t="s">
        <v>82</v>
      </c>
      <c r="B72" s="12"/>
      <c r="C72" s="17"/>
      <c r="D72" s="7">
        <v>300637.82538369996</v>
      </c>
      <c r="E72" s="7">
        <v>327436.66308179998</v>
      </c>
      <c r="F72" s="7">
        <v>337926.55560476746</v>
      </c>
      <c r="G72" s="7">
        <v>351988.84202466835</v>
      </c>
      <c r="H72" s="7">
        <v>378572.63253333332</v>
      </c>
      <c r="I72" s="7">
        <v>508863.48198121577</v>
      </c>
      <c r="J72" s="7">
        <v>611826.827869348</v>
      </c>
      <c r="K72" s="7">
        <v>639382.60586213379</v>
      </c>
      <c r="L72" s="7">
        <v>467548.35742325708</v>
      </c>
      <c r="M72" s="7">
        <v>530061.21386666666</v>
      </c>
    </row>
    <row r="73" spans="1:15" x14ac:dyDescent="0.25">
      <c r="A73" s="12" t="s">
        <v>202</v>
      </c>
      <c r="B73" s="12"/>
      <c r="C73" s="17"/>
      <c r="D73" s="13"/>
      <c r="E73" s="13"/>
      <c r="F73" s="13"/>
      <c r="G73" s="13"/>
      <c r="H73" s="13"/>
      <c r="I73" s="13"/>
      <c r="J73" s="7">
        <f>J72-J74</f>
        <v>599721.827869348</v>
      </c>
      <c r="K73" s="7">
        <v>633549.38031213381</v>
      </c>
      <c r="L73" s="7">
        <v>457431.07344325708</v>
      </c>
      <c r="M73" s="7">
        <v>523468.28099999996</v>
      </c>
    </row>
    <row r="74" spans="1:15" x14ac:dyDescent="0.25">
      <c r="A74" s="12" t="s">
        <v>203</v>
      </c>
      <c r="B74" s="12"/>
      <c r="C74" s="17"/>
      <c r="D74" s="13"/>
      <c r="E74" s="13"/>
      <c r="F74" s="13"/>
      <c r="G74" s="13"/>
      <c r="H74" s="13"/>
      <c r="I74" s="13"/>
      <c r="J74" s="7">
        <v>12105</v>
      </c>
      <c r="K74" s="7">
        <v>5833.2255500000001</v>
      </c>
      <c r="L74" s="7">
        <v>10117.28398</v>
      </c>
      <c r="M74" s="7">
        <v>6592.9328666666697</v>
      </c>
    </row>
    <row r="75" spans="1:15" x14ac:dyDescent="0.25">
      <c r="A75" s="19"/>
      <c r="B75" s="19"/>
      <c r="C75" s="17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5" x14ac:dyDescent="0.25">
      <c r="A76" s="101" t="s">
        <v>172</v>
      </c>
      <c r="B76" s="101"/>
      <c r="C76" s="136" t="s">
        <v>48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x14ac:dyDescent="0.25">
      <c r="A77" s="7" t="s">
        <v>199</v>
      </c>
      <c r="B77" s="13"/>
      <c r="C77" s="32"/>
      <c r="D77" s="7">
        <v>1587790.9421077336</v>
      </c>
      <c r="E77" s="7">
        <v>1680812.0167582999</v>
      </c>
      <c r="F77" s="7">
        <v>2575193.07650556</v>
      </c>
      <c r="G77" s="7">
        <v>2673419.1199500668</v>
      </c>
      <c r="H77" s="7">
        <v>3300824.4665333331</v>
      </c>
      <c r="I77" s="7">
        <v>1621995.9989500011</v>
      </c>
      <c r="J77" s="13"/>
      <c r="K77" s="13"/>
      <c r="L77" s="13"/>
      <c r="M77" s="13"/>
    </row>
    <row r="78" spans="1:15" x14ac:dyDescent="0.25">
      <c r="A78" s="7" t="s">
        <v>198</v>
      </c>
      <c r="B78" s="12"/>
      <c r="C78" s="17"/>
      <c r="D78" s="7"/>
      <c r="E78" s="7"/>
      <c r="F78" s="7"/>
      <c r="G78" s="7"/>
      <c r="H78" s="7"/>
      <c r="I78" s="7"/>
      <c r="J78" s="7">
        <v>496729.01998342201</v>
      </c>
      <c r="K78" s="7">
        <v>384438.98954999965</v>
      </c>
      <c r="L78" s="7">
        <v>1526196.3391092729</v>
      </c>
      <c r="M78" s="7">
        <v>1636730.2193123973</v>
      </c>
    </row>
    <row r="79" spans="1:15" x14ac:dyDescent="0.25">
      <c r="A79" s="7"/>
      <c r="B79" s="12"/>
      <c r="C79" s="1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5" x14ac:dyDescent="0.25">
      <c r="A80" s="101" t="s">
        <v>197</v>
      </c>
      <c r="B80" s="101"/>
      <c r="C80" s="136" t="s">
        <v>48</v>
      </c>
      <c r="D80" s="101">
        <f>D63-D77</f>
        <v>13750513.942477595</v>
      </c>
      <c r="E80" s="101">
        <f>E63-E77</f>
        <v>13723873.84569158</v>
      </c>
      <c r="F80" s="101">
        <f>F63-F77-F68</f>
        <v>13275337.394336749</v>
      </c>
      <c r="G80" s="101">
        <f>G63-G77-G68</f>
        <v>13396112.744245829</v>
      </c>
      <c r="H80" s="101">
        <f>H63-H77-H68</f>
        <v>13658183.770638997</v>
      </c>
      <c r="I80" s="101">
        <f>I63-I77-I68</f>
        <v>15734281.643538671</v>
      </c>
      <c r="J80" s="101">
        <f>J64+J65+J66+J67+J70+J73+J74-J78</f>
        <v>17299767.061674129</v>
      </c>
      <c r="K80" s="101">
        <f>K64+K65+K66+K67+K70+K73+K74-K78</f>
        <v>17986209.983293179</v>
      </c>
      <c r="L80" s="101">
        <f>SUM(L81:L82)</f>
        <v>20188743.876678437</v>
      </c>
      <c r="M80" s="101">
        <f>SUM(M81:M82)</f>
        <v>19991693.70657631</v>
      </c>
      <c r="N80" s="2"/>
    </row>
    <row r="81" spans="1:17" x14ac:dyDescent="0.25">
      <c r="A81" s="12" t="s">
        <v>84</v>
      </c>
      <c r="B81" s="12"/>
      <c r="C81" s="17"/>
      <c r="D81" s="7">
        <v>8336061.0078534</v>
      </c>
      <c r="E81" s="7">
        <v>8304116.0777313188</v>
      </c>
      <c r="F81" s="7">
        <v>8404127.4712164924</v>
      </c>
      <c r="G81" s="7">
        <v>8230277.1431140359</v>
      </c>
      <c r="H81" s="7">
        <v>8202366.1579023805</v>
      </c>
      <c r="I81" s="7">
        <v>9775880.0150844809</v>
      </c>
      <c r="J81" s="7">
        <v>10833531.183842421</v>
      </c>
      <c r="K81" s="7">
        <v>11319561.528455621</v>
      </c>
      <c r="L81" s="7">
        <v>12993267.293403218</v>
      </c>
      <c r="M81" s="7">
        <v>13048235.372981839</v>
      </c>
    </row>
    <row r="82" spans="1:17" x14ac:dyDescent="0.25">
      <c r="A82" s="12" t="s">
        <v>85</v>
      </c>
      <c r="B82" s="12"/>
      <c r="C82" s="17"/>
      <c r="D82" s="7">
        <v>5414452.9346241904</v>
      </c>
      <c r="E82" s="7">
        <v>5419757.7679602597</v>
      </c>
      <c r="F82" s="7">
        <v>4871209.9233869193</v>
      </c>
      <c r="G82" s="7">
        <v>5165835.601136623</v>
      </c>
      <c r="H82" s="7">
        <v>5455817.6127366275</v>
      </c>
      <c r="I82" s="7">
        <v>5958401.6271257242</v>
      </c>
      <c r="J82" s="7">
        <v>6466235.8782074889</v>
      </c>
      <c r="K82" s="7">
        <v>6666648.4548375495</v>
      </c>
      <c r="L82" s="7">
        <v>7195476.5832752176</v>
      </c>
      <c r="M82" s="7">
        <v>6943458.3335944703</v>
      </c>
    </row>
    <row r="83" spans="1:17" x14ac:dyDescent="0.25">
      <c r="A83" s="21"/>
      <c r="B83" s="21"/>
      <c r="C83" s="17"/>
      <c r="D83" s="7"/>
      <c r="E83" s="7"/>
      <c r="F83" s="7"/>
      <c r="G83" s="7"/>
      <c r="H83" s="6"/>
      <c r="I83" s="6"/>
      <c r="J83" s="6"/>
      <c r="K83" s="6"/>
      <c r="L83" s="6"/>
      <c r="M83" s="6"/>
    </row>
    <row r="84" spans="1:17" x14ac:dyDescent="0.25">
      <c r="A84" s="118" t="s">
        <v>59</v>
      </c>
      <c r="B84" s="118"/>
      <c r="C84" s="17"/>
      <c r="D84" s="7"/>
      <c r="E84" s="7"/>
      <c r="F84" s="7"/>
      <c r="G84" s="7"/>
      <c r="H84" s="6"/>
      <c r="I84" s="6"/>
      <c r="J84" s="6"/>
      <c r="K84" s="6"/>
      <c r="L84" s="6"/>
      <c r="M84" s="6"/>
    </row>
    <row r="85" spans="1:17" x14ac:dyDescent="0.25">
      <c r="A85" s="12" t="s">
        <v>86</v>
      </c>
      <c r="B85" s="12"/>
      <c r="C85" s="40" t="s">
        <v>60</v>
      </c>
      <c r="D85" s="7">
        <f t="shared" ref="D85:M85" si="19">((D63-D68)*1000)/D41/12</f>
        <v>101.37245987513653</v>
      </c>
      <c r="E85" s="7">
        <f t="shared" si="19"/>
        <v>102.37288725459864</v>
      </c>
      <c r="F85" s="7">
        <f t="shared" si="19"/>
        <v>105.46459355883083</v>
      </c>
      <c r="G85" s="7">
        <f t="shared" si="19"/>
        <v>104.99332939192375</v>
      </c>
      <c r="H85" s="7">
        <f t="shared" si="19"/>
        <v>111.60952837552145</v>
      </c>
      <c r="I85" s="7">
        <f t="shared" si="19"/>
        <v>118.01254738675114</v>
      </c>
      <c r="J85" s="7">
        <f t="shared" si="19"/>
        <v>124.31032789164693</v>
      </c>
      <c r="K85" s="7">
        <f t="shared" si="19"/>
        <v>128.31646699308166</v>
      </c>
      <c r="L85" s="7">
        <f t="shared" si="19"/>
        <v>151.18988252451524</v>
      </c>
      <c r="M85" s="7">
        <f t="shared" si="19"/>
        <v>148.72372083541887</v>
      </c>
    </row>
    <row r="86" spans="1:17" x14ac:dyDescent="0.25">
      <c r="A86" s="12" t="s">
        <v>87</v>
      </c>
      <c r="B86" s="12"/>
      <c r="C86" s="17"/>
      <c r="D86" s="7"/>
      <c r="E86" s="7">
        <f t="shared" ref="E86:M86" si="20">(E80*1000)/E42/12</f>
        <v>110.42306965946904</v>
      </c>
      <c r="F86" s="7">
        <f t="shared" si="20"/>
        <v>108.7065833166548</v>
      </c>
      <c r="G86" s="7">
        <f t="shared" si="20"/>
        <v>110.71875059194549</v>
      </c>
      <c r="H86" s="7">
        <f t="shared" si="20"/>
        <v>115.20641231578099</v>
      </c>
      <c r="I86" s="7">
        <f t="shared" si="20"/>
        <v>129.83366688567079</v>
      </c>
      <c r="J86" s="7">
        <f t="shared" si="20"/>
        <v>137.72116535068844</v>
      </c>
      <c r="K86" s="7">
        <f t="shared" si="20"/>
        <v>143.16853879110633</v>
      </c>
      <c r="L86" s="7">
        <f t="shared" si="20"/>
        <v>159.58160771864695</v>
      </c>
      <c r="M86" s="7">
        <f t="shared" si="20"/>
        <v>155.82059159026616</v>
      </c>
    </row>
    <row r="87" spans="1:17" x14ac:dyDescent="0.25">
      <c r="A87" s="21" t="s">
        <v>88</v>
      </c>
      <c r="B87" s="21"/>
      <c r="C87" s="17"/>
      <c r="D87" s="7"/>
      <c r="E87" s="6">
        <f t="shared" ref="E87:M87" si="21">(E81*1000)/E43/12</f>
        <v>86.509343674936062</v>
      </c>
      <c r="F87" s="6">
        <f t="shared" si="21"/>
        <v>90.003441858089786</v>
      </c>
      <c r="G87" s="6">
        <f t="shared" si="21"/>
        <v>90.019207057832944</v>
      </c>
      <c r="H87" s="6">
        <f t="shared" si="21"/>
        <v>92.736620037247874</v>
      </c>
      <c r="I87" s="6">
        <f t="shared" si="21"/>
        <v>109.90667256460453</v>
      </c>
      <c r="J87" s="6">
        <f t="shared" si="21"/>
        <v>119.42604564201984</v>
      </c>
      <c r="K87" s="6">
        <f t="shared" si="21"/>
        <v>125.77240278211798</v>
      </c>
      <c r="L87" s="6">
        <f t="shared" si="21"/>
        <v>144.08729274033465</v>
      </c>
      <c r="M87" s="6">
        <f t="shared" si="21"/>
        <v>143.47990884243907</v>
      </c>
    </row>
    <row r="88" spans="1:17" x14ac:dyDescent="0.25">
      <c r="A88" s="21" t="s">
        <v>89</v>
      </c>
      <c r="B88" s="21"/>
      <c r="C88" s="17"/>
      <c r="D88" s="7"/>
      <c r="E88" s="6">
        <f t="shared" ref="E88:M88" si="22">(E82*1000)/E44/12</f>
        <v>191.5548216240712</v>
      </c>
      <c r="F88" s="6">
        <f t="shared" si="22"/>
        <v>169.4616837922616</v>
      </c>
      <c r="G88" s="6">
        <f t="shared" si="22"/>
        <v>174.73247428031414</v>
      </c>
      <c r="H88" s="6">
        <f t="shared" si="22"/>
        <v>181.21997448142906</v>
      </c>
      <c r="I88" s="6">
        <f t="shared" si="22"/>
        <v>184.80883305355584</v>
      </c>
      <c r="J88" s="6">
        <f t="shared" si="22"/>
        <v>185.27293433106271</v>
      </c>
      <c r="K88" s="6">
        <f t="shared" si="22"/>
        <v>187.11158559476215</v>
      </c>
      <c r="L88" s="6">
        <f t="shared" si="22"/>
        <v>198.03640665135924</v>
      </c>
      <c r="M88" s="6">
        <f t="shared" si="22"/>
        <v>185.86153471059524</v>
      </c>
      <c r="N88" s="2"/>
      <c r="O88" s="2"/>
    </row>
    <row r="89" spans="1:17" x14ac:dyDescent="0.25">
      <c r="A89" s="89"/>
      <c r="B89" s="88"/>
      <c r="C89" s="17"/>
      <c r="D89" s="7"/>
      <c r="E89" s="6"/>
      <c r="F89" s="6"/>
      <c r="G89" s="6"/>
      <c r="H89" s="6"/>
      <c r="I89" s="6"/>
      <c r="J89" s="6"/>
      <c r="K89" s="6"/>
      <c r="L89" s="6"/>
      <c r="M89" s="6"/>
    </row>
    <row r="90" spans="1:17" x14ac:dyDescent="0.25">
      <c r="A90" s="101" t="s">
        <v>223</v>
      </c>
      <c r="B90" s="101"/>
      <c r="C90" s="136" t="s">
        <v>48</v>
      </c>
      <c r="D90" s="101"/>
      <c r="E90" s="133"/>
      <c r="F90" s="133"/>
      <c r="G90" s="101">
        <v>505558.94990873896</v>
      </c>
      <c r="H90" s="101">
        <v>608431.82783333294</v>
      </c>
      <c r="I90" s="101">
        <v>924931.20299512194</v>
      </c>
      <c r="J90" s="101">
        <v>1205912.804840958</v>
      </c>
      <c r="K90" s="101">
        <v>1127887.6459999999</v>
      </c>
      <c r="L90" s="101">
        <v>1029490.7585533329</v>
      </c>
      <c r="M90" s="101">
        <v>1010808.7370000001</v>
      </c>
    </row>
    <row r="91" spans="1:17" x14ac:dyDescent="0.25">
      <c r="A91" s="89"/>
      <c r="B91" s="88"/>
      <c r="C91" s="17"/>
      <c r="D91" s="7"/>
      <c r="E91" s="7"/>
      <c r="F91" s="7"/>
      <c r="G91" s="6"/>
      <c r="H91" s="6"/>
      <c r="I91" s="6"/>
      <c r="J91" s="6"/>
      <c r="K91" s="6"/>
      <c r="L91" s="6"/>
      <c r="M91" s="6"/>
    </row>
    <row r="92" spans="1:17" x14ac:dyDescent="0.25">
      <c r="A92" s="115" t="s">
        <v>51</v>
      </c>
      <c r="B92" s="115"/>
      <c r="C92" s="131"/>
      <c r="D92" s="134"/>
      <c r="E92" s="134"/>
      <c r="F92" s="134"/>
      <c r="G92" s="134"/>
      <c r="H92" s="134"/>
      <c r="I92" s="134"/>
      <c r="J92" s="134"/>
      <c r="K92" s="134"/>
      <c r="L92" s="134"/>
      <c r="M92" s="134"/>
    </row>
    <row r="93" spans="1:17" x14ac:dyDescent="0.25">
      <c r="A93" s="101" t="s">
        <v>142</v>
      </c>
      <c r="B93" s="101"/>
      <c r="C93" s="136" t="s">
        <v>49</v>
      </c>
      <c r="D93" s="122">
        <f t="shared" ref="D93:K93" si="23">D94+D95+D96</f>
        <v>25406738.411804304</v>
      </c>
      <c r="E93" s="122">
        <f t="shared" si="23"/>
        <v>25986049.716722474</v>
      </c>
      <c r="F93" s="122">
        <f t="shared" si="23"/>
        <v>24967617.648191843</v>
      </c>
      <c r="G93" s="122">
        <f t="shared" si="23"/>
        <v>24570433.130621608</v>
      </c>
      <c r="H93" s="122">
        <f t="shared" si="23"/>
        <v>23457251.999000002</v>
      </c>
      <c r="I93" s="122">
        <f t="shared" si="23"/>
        <v>22464212.922835786</v>
      </c>
      <c r="J93" s="122">
        <f t="shared" si="23"/>
        <v>20466081.119631834</v>
      </c>
      <c r="K93" s="122">
        <f t="shared" si="23"/>
        <v>17838684.594970003</v>
      </c>
      <c r="L93" s="122">
        <v>14523206.00599437</v>
      </c>
      <c r="M93" s="122">
        <f>M94+M95+M96</f>
        <v>12031026.956399998</v>
      </c>
      <c r="Q93" s="2"/>
    </row>
    <row r="94" spans="1:17" x14ac:dyDescent="0.25">
      <c r="A94" s="12" t="s">
        <v>90</v>
      </c>
      <c r="B94" s="12"/>
      <c r="C94" s="17"/>
      <c r="D94" s="20">
        <v>24601535.412804302</v>
      </c>
      <c r="E94" s="20">
        <v>24963182.875722475</v>
      </c>
      <c r="F94" s="20">
        <v>24050688.26419184</v>
      </c>
      <c r="G94" s="20">
        <v>23601937.998999998</v>
      </c>
      <c r="H94" s="20">
        <v>22506603.182999998</v>
      </c>
      <c r="I94" s="20">
        <v>21104514.508000001</v>
      </c>
      <c r="J94" s="20">
        <v>19020662.07</v>
      </c>
      <c r="K94" s="20">
        <v>16691065.904970001</v>
      </c>
      <c r="L94" s="20">
        <v>13910256.048994372</v>
      </c>
      <c r="M94" s="20">
        <v>11425701.259399999</v>
      </c>
    </row>
    <row r="95" spans="1:17" x14ac:dyDescent="0.25">
      <c r="A95" s="12" t="s">
        <v>91</v>
      </c>
      <c r="B95" s="12"/>
      <c r="C95" s="17"/>
      <c r="D95" s="7">
        <v>427970.11299999995</v>
      </c>
      <c r="E95" s="7">
        <v>613710.07700000005</v>
      </c>
      <c r="F95" s="7">
        <v>514240.46600000007</v>
      </c>
      <c r="G95" s="7">
        <v>562339.12599999993</v>
      </c>
      <c r="H95" s="7">
        <v>541700.13500000001</v>
      </c>
      <c r="I95" s="7">
        <v>710434.85900000005</v>
      </c>
      <c r="J95" s="7">
        <v>722795.66300000018</v>
      </c>
      <c r="K95" s="7">
        <v>599577.2281712062</v>
      </c>
      <c r="L95" s="7">
        <v>348572.73312569852</v>
      </c>
      <c r="M95" s="7">
        <v>345269.65038781834</v>
      </c>
    </row>
    <row r="96" spans="1:17" x14ac:dyDescent="0.25">
      <c r="A96" s="12" t="s">
        <v>92</v>
      </c>
      <c r="B96" s="12"/>
      <c r="C96" s="17"/>
      <c r="D96" s="7">
        <v>377232.886</v>
      </c>
      <c r="E96" s="7">
        <v>409156.76400000002</v>
      </c>
      <c r="F96" s="7">
        <v>402688.91800000001</v>
      </c>
      <c r="G96" s="7">
        <v>406156.00562161102</v>
      </c>
      <c r="H96" s="7">
        <v>408948.68100000004</v>
      </c>
      <c r="I96" s="7">
        <v>649263.55583578499</v>
      </c>
      <c r="J96" s="7">
        <v>722623.38663183595</v>
      </c>
      <c r="K96" s="7">
        <v>548041.46182879398</v>
      </c>
      <c r="L96" s="7">
        <v>264377.22387430153</v>
      </c>
      <c r="M96" s="7">
        <v>260056.04661218158</v>
      </c>
    </row>
    <row r="97" spans="1:13" x14ac:dyDescent="0.25">
      <c r="A97" s="21"/>
      <c r="B97" s="21"/>
      <c r="C97" s="1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x14ac:dyDescent="0.25">
      <c r="A98" s="21"/>
      <c r="B98" s="21"/>
      <c r="C98" s="17"/>
      <c r="D98" s="7"/>
      <c r="E98" s="7"/>
      <c r="F98" s="7"/>
      <c r="G98" s="6"/>
      <c r="H98" s="6"/>
      <c r="I98" s="6"/>
      <c r="J98" s="6"/>
      <c r="K98" s="6"/>
      <c r="L98" s="6"/>
      <c r="M98" s="6"/>
    </row>
    <row r="99" spans="1:13" x14ac:dyDescent="0.25">
      <c r="A99" s="101" t="s">
        <v>63</v>
      </c>
      <c r="B99" s="101"/>
      <c r="C99" s="136" t="s">
        <v>49</v>
      </c>
      <c r="D99" s="7"/>
      <c r="E99" s="7"/>
      <c r="F99" s="7"/>
      <c r="G99" s="6"/>
      <c r="H99" s="6"/>
      <c r="I99" s="6"/>
      <c r="J99" s="6"/>
      <c r="K99" s="6"/>
      <c r="L99" s="6"/>
      <c r="M99" s="6"/>
    </row>
    <row r="100" spans="1:13" x14ac:dyDescent="0.25">
      <c r="A100" s="7" t="s">
        <v>93</v>
      </c>
      <c r="B100" s="7"/>
      <c r="C100" s="17"/>
      <c r="D100" s="7">
        <v>995744.90899999999</v>
      </c>
      <c r="E100" s="7">
        <v>2384791.0559999999</v>
      </c>
      <c r="F100" s="7">
        <v>2862029.8823573003</v>
      </c>
      <c r="G100" s="7">
        <v>3062649.3110000002</v>
      </c>
      <c r="H100" s="7"/>
      <c r="I100" s="7"/>
      <c r="J100" s="7"/>
      <c r="K100" s="7"/>
      <c r="L100" s="7"/>
      <c r="M100" s="7"/>
    </row>
    <row r="101" spans="1:13" x14ac:dyDescent="0.25">
      <c r="A101" s="7" t="s">
        <v>94</v>
      </c>
      <c r="B101" s="7"/>
      <c r="C101" s="17"/>
      <c r="D101" s="7"/>
      <c r="E101" s="7"/>
      <c r="F101" s="7"/>
      <c r="G101" s="20"/>
      <c r="H101" s="20">
        <v>2900115.2319999998</v>
      </c>
      <c r="I101" s="20">
        <v>1250076.3459999999</v>
      </c>
      <c r="J101" s="20">
        <v>846508.52799999993</v>
      </c>
      <c r="K101" s="20">
        <v>549841.74800000002</v>
      </c>
      <c r="L101" s="20">
        <v>1756524.2860443708</v>
      </c>
      <c r="M101" s="20">
        <v>1569783.4610000001</v>
      </c>
    </row>
    <row r="102" spans="1:13" x14ac:dyDescent="0.25">
      <c r="A102" s="21" t="s">
        <v>47</v>
      </c>
      <c r="B102" s="21"/>
      <c r="C102" s="17"/>
      <c r="D102" s="7"/>
      <c r="E102" s="7"/>
      <c r="F102" s="7"/>
      <c r="G102" s="6"/>
      <c r="H102" s="6"/>
      <c r="I102" s="6"/>
      <c r="J102" s="6"/>
      <c r="K102" s="6"/>
      <c r="L102" s="6"/>
      <c r="M102" s="6"/>
    </row>
    <row r="103" spans="1:13" x14ac:dyDescent="0.25">
      <c r="A103" s="101" t="s">
        <v>173</v>
      </c>
      <c r="B103" s="101"/>
      <c r="C103" s="136" t="s">
        <v>49</v>
      </c>
      <c r="D103" s="122">
        <f>D93-D100</f>
        <v>24410993.502804302</v>
      </c>
      <c r="E103" s="122">
        <f>E93-E100</f>
        <v>23601258.660722472</v>
      </c>
      <c r="F103" s="122">
        <f>F93-F100</f>
        <v>22105587.765834544</v>
      </c>
      <c r="G103" s="122">
        <f>G93-G100</f>
        <v>21507783.819621608</v>
      </c>
      <c r="H103" s="122">
        <f>H93-H95-H101</f>
        <v>20015436.631999999</v>
      </c>
      <c r="I103" s="122">
        <f>I93-I95-I101</f>
        <v>20503701.717835784</v>
      </c>
      <c r="J103" s="122">
        <f>J93-J95-J101</f>
        <v>18896776.928631835</v>
      </c>
      <c r="K103" s="122">
        <f>K93-K95-K101</f>
        <v>16689265.618798796</v>
      </c>
      <c r="L103" s="122">
        <v>12418108.986824302</v>
      </c>
      <c r="M103" s="122">
        <f>M104+M105</f>
        <v>10115973.847012181</v>
      </c>
    </row>
    <row r="104" spans="1:13" x14ac:dyDescent="0.25">
      <c r="A104" s="12" t="s">
        <v>61</v>
      </c>
      <c r="B104" s="12"/>
      <c r="C104" s="17"/>
      <c r="D104" s="7"/>
      <c r="E104" s="7"/>
      <c r="F104" s="7"/>
      <c r="G104" s="6"/>
      <c r="H104" s="7">
        <v>16915948.76144838</v>
      </c>
      <c r="I104" s="7">
        <v>17235708.978269771</v>
      </c>
      <c r="J104" s="7">
        <v>15738107.055700712</v>
      </c>
      <c r="K104" s="7">
        <v>13637850.207528748</v>
      </c>
      <c r="L104" s="7">
        <v>10184027.768551389</v>
      </c>
      <c r="M104" s="7">
        <v>7991206.1118067503</v>
      </c>
    </row>
    <row r="105" spans="1:13" x14ac:dyDescent="0.25">
      <c r="A105" s="12" t="s">
        <v>62</v>
      </c>
      <c r="B105" s="12"/>
      <c r="C105" s="17"/>
      <c r="D105" s="7"/>
      <c r="E105" s="7"/>
      <c r="F105" s="7"/>
      <c r="G105" s="6"/>
      <c r="H105" s="7">
        <v>3099487.8705516206</v>
      </c>
      <c r="I105" s="7">
        <v>3267992.7397302296</v>
      </c>
      <c r="J105" s="7">
        <v>3158669.8729311302</v>
      </c>
      <c r="K105" s="7">
        <v>3051415.411270041</v>
      </c>
      <c r="L105" s="7">
        <v>2234081.218272916</v>
      </c>
      <c r="M105" s="7">
        <v>2124767.7352054301</v>
      </c>
    </row>
    <row r="106" spans="1:13" x14ac:dyDescent="0.25">
      <c r="A106" s="21"/>
      <c r="B106" s="21"/>
      <c r="C106" s="17"/>
      <c r="D106" s="7"/>
      <c r="E106" s="7"/>
      <c r="F106" s="7"/>
      <c r="G106" s="6"/>
      <c r="H106" s="6"/>
      <c r="I106" s="6"/>
      <c r="J106" s="6"/>
      <c r="K106" s="6"/>
      <c r="L106" s="6"/>
      <c r="M106" s="6"/>
    </row>
    <row r="107" spans="1:13" x14ac:dyDescent="0.25">
      <c r="A107" s="118" t="s">
        <v>64</v>
      </c>
      <c r="B107" s="118"/>
      <c r="C107" s="17"/>
      <c r="D107" s="7"/>
      <c r="E107" s="7"/>
      <c r="F107" s="7"/>
      <c r="G107" s="6"/>
      <c r="H107" s="6"/>
      <c r="I107" s="6"/>
      <c r="J107" s="6"/>
      <c r="K107" s="6"/>
      <c r="L107" s="6"/>
      <c r="M107" s="6"/>
    </row>
    <row r="108" spans="1:13" x14ac:dyDescent="0.25">
      <c r="A108" s="12" t="s">
        <v>179</v>
      </c>
      <c r="B108" s="12"/>
      <c r="C108" s="40" t="s">
        <v>65</v>
      </c>
      <c r="D108" s="7">
        <f t="shared" ref="D108:M108" si="24">((D93)*1000)/D41/12</f>
        <v>170.6801496425206</v>
      </c>
      <c r="E108" s="7">
        <f t="shared" si="24"/>
        <v>175.86144201493337</v>
      </c>
      <c r="F108" s="7">
        <f t="shared" si="24"/>
        <v>166.12690990012743</v>
      </c>
      <c r="G108" s="7">
        <f t="shared" si="24"/>
        <v>160.53557756299196</v>
      </c>
      <c r="H108" s="7">
        <f t="shared" si="24"/>
        <v>154.37535001932812</v>
      </c>
      <c r="I108" s="7">
        <f t="shared" si="24"/>
        <v>152.74352292984503</v>
      </c>
      <c r="J108" s="7">
        <f t="shared" si="24"/>
        <v>142.85277921215263</v>
      </c>
      <c r="K108" s="7">
        <f t="shared" si="24"/>
        <v>124.54619563515502</v>
      </c>
      <c r="L108" s="7">
        <f t="shared" si="24"/>
        <v>101.06109236253245</v>
      </c>
      <c r="M108" s="7">
        <f t="shared" si="24"/>
        <v>82.69238088364834</v>
      </c>
    </row>
    <row r="109" spans="1:13" x14ac:dyDescent="0.25">
      <c r="A109" s="12" t="s">
        <v>95</v>
      </c>
      <c r="B109" s="12"/>
      <c r="C109" s="40" t="s">
        <v>65</v>
      </c>
      <c r="D109" s="7"/>
      <c r="E109" s="7"/>
      <c r="F109" s="7"/>
      <c r="G109" s="6"/>
      <c r="H109" s="7">
        <f t="shared" ref="H109:M111" si="25">(H103*1000)/H42/12</f>
        <v>168.82966901233146</v>
      </c>
      <c r="I109" s="7">
        <f t="shared" si="25"/>
        <v>169.18921620103544</v>
      </c>
      <c r="J109" s="7">
        <f t="shared" si="25"/>
        <v>150.43475040474516</v>
      </c>
      <c r="K109" s="7">
        <f t="shared" si="25"/>
        <v>132.84498370470988</v>
      </c>
      <c r="L109" s="7">
        <f t="shared" si="25"/>
        <v>98.158746727775153</v>
      </c>
      <c r="M109" s="7">
        <f t="shared" si="25"/>
        <v>78.846597616418009</v>
      </c>
    </row>
    <row r="110" spans="1:13" x14ac:dyDescent="0.25">
      <c r="A110" s="21" t="s">
        <v>96</v>
      </c>
      <c r="B110" s="21"/>
      <c r="C110" s="17"/>
      <c r="D110" s="7"/>
      <c r="E110" s="7"/>
      <c r="F110" s="7"/>
      <c r="G110" s="6"/>
      <c r="H110" s="6">
        <f t="shared" si="25"/>
        <v>191.25309485832179</v>
      </c>
      <c r="I110" s="6">
        <f t="shared" si="25"/>
        <v>193.77482335815475</v>
      </c>
      <c r="J110" s="6">
        <f t="shared" si="25"/>
        <v>173.49282146862063</v>
      </c>
      <c r="K110" s="6">
        <f t="shared" si="25"/>
        <v>151.53106284829025</v>
      </c>
      <c r="L110" s="6">
        <f t="shared" si="25"/>
        <v>112.93456505031385</v>
      </c>
      <c r="M110" s="6">
        <f t="shared" si="25"/>
        <v>87.872228825464063</v>
      </c>
    </row>
    <row r="111" spans="1:13" x14ac:dyDescent="0.25">
      <c r="A111" s="21" t="s">
        <v>97</v>
      </c>
      <c r="B111" s="21"/>
      <c r="C111" s="17"/>
      <c r="D111" s="7"/>
      <c r="E111" s="7"/>
      <c r="F111" s="7"/>
      <c r="G111" s="6"/>
      <c r="H111" s="6">
        <f t="shared" si="25"/>
        <v>102.95232587973582</v>
      </c>
      <c r="I111" s="6">
        <f t="shared" si="25"/>
        <v>101.3617346483537</v>
      </c>
      <c r="J111" s="6">
        <f t="shared" si="25"/>
        <v>90.503354186841662</v>
      </c>
      <c r="K111" s="6">
        <f t="shared" si="25"/>
        <v>85.643510345400912</v>
      </c>
      <c r="L111" s="6">
        <f t="shared" si="25"/>
        <v>61.487159538871765</v>
      </c>
      <c r="M111" s="6">
        <f t="shared" si="25"/>
        <v>56.875489589695519</v>
      </c>
    </row>
    <row r="112" spans="1:13" x14ac:dyDescent="0.25">
      <c r="A112" s="21"/>
      <c r="B112" s="21"/>
      <c r="C112" s="17"/>
      <c r="D112" s="7"/>
      <c r="E112" s="7"/>
      <c r="F112" s="7"/>
      <c r="G112" s="6"/>
      <c r="H112" s="6"/>
      <c r="I112" s="6"/>
      <c r="J112" s="6"/>
      <c r="K112" s="6"/>
      <c r="L112" s="6"/>
      <c r="M112" s="6"/>
    </row>
    <row r="113" spans="1:17" x14ac:dyDescent="0.25">
      <c r="A113" s="115" t="s">
        <v>50</v>
      </c>
      <c r="B113" s="115"/>
      <c r="C113" s="131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</row>
    <row r="114" spans="1:17" x14ac:dyDescent="0.25">
      <c r="A114" s="101" t="s">
        <v>67</v>
      </c>
      <c r="B114" s="101"/>
      <c r="C114" s="136" t="s">
        <v>20</v>
      </c>
      <c r="D114" s="122">
        <f t="shared" ref="D114:K114" si="26">D115+D116</f>
        <v>3857896564.0766773</v>
      </c>
      <c r="E114" s="122">
        <f t="shared" si="26"/>
        <v>10398925144.025473</v>
      </c>
      <c r="F114" s="122">
        <f t="shared" si="26"/>
        <v>24015223913.469517</v>
      </c>
      <c r="G114" s="122">
        <f t="shared" si="26"/>
        <v>44529120391.968567</v>
      </c>
      <c r="H114" s="122">
        <f t="shared" si="26"/>
        <v>78411434347.051758</v>
      </c>
      <c r="I114" s="122">
        <f t="shared" si="26"/>
        <v>127838726204.50749</v>
      </c>
      <c r="J114" s="122">
        <f t="shared" si="26"/>
        <v>203511092479.86792</v>
      </c>
      <c r="K114" s="122">
        <f t="shared" si="26"/>
        <v>324195364648.66443</v>
      </c>
      <c r="L114" s="122">
        <v>432872303945.71411</v>
      </c>
      <c r="M114" s="122">
        <f>M115+M116</f>
        <v>579172319918.53967</v>
      </c>
      <c r="N114" s="31"/>
      <c r="Q114" s="2"/>
    </row>
    <row r="115" spans="1:17" x14ac:dyDescent="0.25">
      <c r="A115" s="12" t="s">
        <v>98</v>
      </c>
      <c r="B115" s="12"/>
      <c r="C115" s="17"/>
      <c r="D115" s="7">
        <v>3839895543.1386528</v>
      </c>
      <c r="E115" s="7">
        <v>10321807282.12509</v>
      </c>
      <c r="F115" s="7">
        <v>23794317627.469517</v>
      </c>
      <c r="G115" s="7">
        <v>44096450672.937958</v>
      </c>
      <c r="H115" s="7">
        <v>76354160177.772186</v>
      </c>
      <c r="I115" s="7">
        <v>120580688263.70436</v>
      </c>
      <c r="J115" s="7">
        <v>186977341999.38239</v>
      </c>
      <c r="K115" s="7">
        <v>300121933938.6311</v>
      </c>
      <c r="L115" s="7">
        <v>407696280929.53345</v>
      </c>
      <c r="M115" s="7">
        <v>542593895500.43494</v>
      </c>
    </row>
    <row r="116" spans="1:17" x14ac:dyDescent="0.25">
      <c r="A116" s="12" t="s">
        <v>99</v>
      </c>
      <c r="B116" s="12"/>
      <c r="C116" s="17"/>
      <c r="D116" s="7">
        <v>18001020.93802454</v>
      </c>
      <c r="E116" s="7">
        <v>77117861.900383607</v>
      </c>
      <c r="F116" s="7">
        <v>220906286</v>
      </c>
      <c r="G116" s="7">
        <v>432669719.03061247</v>
      </c>
      <c r="H116" s="7">
        <v>2057274169.2795739</v>
      </c>
      <c r="I116" s="7">
        <v>7258037940.803134</v>
      </c>
      <c r="J116" s="7">
        <v>16533750480.485529</v>
      </c>
      <c r="K116" s="7">
        <v>24073430710.033298</v>
      </c>
      <c r="L116" s="7">
        <v>25176023016.180679</v>
      </c>
      <c r="M116" s="7">
        <v>36578424418.104683</v>
      </c>
    </row>
    <row r="117" spans="1:17" x14ac:dyDescent="0.25">
      <c r="A117" s="21"/>
      <c r="B117" s="21"/>
      <c r="C117" s="17"/>
      <c r="D117" s="7"/>
      <c r="E117" s="7"/>
      <c r="F117" s="7"/>
      <c r="G117" s="6"/>
      <c r="H117" s="6"/>
      <c r="I117" s="6"/>
      <c r="J117" s="6"/>
      <c r="K117" s="6"/>
      <c r="L117" s="6"/>
      <c r="M117" s="6"/>
    </row>
    <row r="118" spans="1:17" x14ac:dyDescent="0.25">
      <c r="A118" s="101" t="s">
        <v>66</v>
      </c>
      <c r="B118" s="101"/>
      <c r="C118" s="136" t="s">
        <v>20</v>
      </c>
      <c r="D118" s="122">
        <v>706392060.17497206</v>
      </c>
      <c r="E118" s="122">
        <v>2121539454.75</v>
      </c>
      <c r="F118" s="122">
        <v>5112029376.1367207</v>
      </c>
      <c r="G118" s="122">
        <v>7986885601.4087105</v>
      </c>
      <c r="H118" s="122">
        <v>14936128051.035751</v>
      </c>
      <c r="I118" s="122">
        <v>10928188250.218174</v>
      </c>
      <c r="J118" s="122">
        <v>8879353575.5523205</v>
      </c>
      <c r="K118" s="122">
        <v>21359292931.40089</v>
      </c>
      <c r="L118" s="122">
        <v>34760765203.196503</v>
      </c>
      <c r="M118" s="122">
        <v>46340402842.988144</v>
      </c>
    </row>
    <row r="119" spans="1:17" x14ac:dyDescent="0.25">
      <c r="A119" s="21"/>
      <c r="B119" s="21"/>
      <c r="C119" s="17"/>
      <c r="D119" s="7"/>
      <c r="E119" s="7"/>
      <c r="F119" s="7"/>
      <c r="G119" s="6"/>
      <c r="H119" s="6"/>
      <c r="I119" s="6"/>
      <c r="J119" s="6"/>
      <c r="K119" s="6"/>
      <c r="L119" s="6"/>
      <c r="M119" s="6"/>
    </row>
    <row r="120" spans="1:17" x14ac:dyDescent="0.25">
      <c r="A120" s="101" t="s">
        <v>68</v>
      </c>
      <c r="B120" s="101"/>
      <c r="C120" s="136" t="s">
        <v>20</v>
      </c>
      <c r="D120" s="122">
        <f t="shared" ref="D120:K120" si="27">D115+D116-D118</f>
        <v>3151504503.9017053</v>
      </c>
      <c r="E120" s="122">
        <f t="shared" si="27"/>
        <v>8277385689.2754726</v>
      </c>
      <c r="F120" s="122">
        <f t="shared" si="27"/>
        <v>18903194537.332794</v>
      </c>
      <c r="G120" s="122">
        <f t="shared" si="27"/>
        <v>36542234790.55986</v>
      </c>
      <c r="H120" s="122">
        <f t="shared" si="27"/>
        <v>63475306296.016006</v>
      </c>
      <c r="I120" s="122">
        <f t="shared" si="27"/>
        <v>116910537954.28932</v>
      </c>
      <c r="J120" s="122">
        <f t="shared" si="27"/>
        <v>194631738904.31561</v>
      </c>
      <c r="K120" s="122">
        <f t="shared" si="27"/>
        <v>302836071717.26355</v>
      </c>
      <c r="L120" s="122">
        <v>398111538742.51758</v>
      </c>
      <c r="M120" s="122">
        <f>M121+M122</f>
        <v>532831917075.55072</v>
      </c>
    </row>
    <row r="121" spans="1:17" x14ac:dyDescent="0.25">
      <c r="A121" s="12" t="s">
        <v>61</v>
      </c>
      <c r="B121" s="12"/>
      <c r="C121" s="17"/>
      <c r="D121" s="7"/>
      <c r="E121" s="7">
        <v>5556145760.4144802</v>
      </c>
      <c r="F121" s="7">
        <v>13211329866.99296</v>
      </c>
      <c r="G121" s="8">
        <v>25850754777.70171</v>
      </c>
      <c r="H121" s="8">
        <v>43396684066.43914</v>
      </c>
      <c r="I121" s="8">
        <v>80698616644.84845</v>
      </c>
      <c r="J121" s="8">
        <v>138477002292.31598</v>
      </c>
      <c r="K121" s="8">
        <v>217678284777.03778</v>
      </c>
      <c r="L121" s="8">
        <v>295895386886.36353</v>
      </c>
      <c r="M121" s="8">
        <v>403846115773.1543</v>
      </c>
    </row>
    <row r="122" spans="1:17" x14ac:dyDescent="0.25">
      <c r="A122" s="12" t="s">
        <v>62</v>
      </c>
      <c r="B122" s="12"/>
      <c r="C122" s="17"/>
      <c r="D122" s="7"/>
      <c r="E122" s="7">
        <v>2721239928.8609929</v>
      </c>
      <c r="F122" s="7">
        <v>5691864670.3398504</v>
      </c>
      <c r="G122" s="8">
        <v>10691480012.85816</v>
      </c>
      <c r="H122" s="8">
        <v>20078622229.726841</v>
      </c>
      <c r="I122" s="8">
        <v>36211921310.203522</v>
      </c>
      <c r="J122" s="8">
        <v>56154736611.828812</v>
      </c>
      <c r="K122" s="8">
        <v>85157786940.2258</v>
      </c>
      <c r="L122" s="8">
        <v>102216151856.15474</v>
      </c>
      <c r="M122" s="8">
        <v>128985801302.39642</v>
      </c>
    </row>
    <row r="123" spans="1:17" x14ac:dyDescent="0.25">
      <c r="A123" s="21"/>
      <c r="B123" s="21"/>
      <c r="C123" s="17"/>
      <c r="D123" s="7"/>
      <c r="E123" s="7"/>
      <c r="F123" s="7"/>
      <c r="G123" s="6"/>
      <c r="H123" s="6"/>
      <c r="I123" s="6"/>
      <c r="J123" s="6"/>
      <c r="K123" s="6"/>
      <c r="L123" s="6"/>
      <c r="M123" s="6"/>
    </row>
    <row r="124" spans="1:17" x14ac:dyDescent="0.25">
      <c r="A124" s="12" t="s">
        <v>100</v>
      </c>
      <c r="B124" s="12"/>
      <c r="C124" s="40" t="s">
        <v>20</v>
      </c>
      <c r="D124" s="7"/>
      <c r="E124" s="7"/>
      <c r="F124" s="7"/>
      <c r="G124" s="22" t="s">
        <v>45</v>
      </c>
      <c r="H124" s="7">
        <v>21039762194.995369</v>
      </c>
      <c r="I124" s="7">
        <v>22607207932.044731</v>
      </c>
      <c r="J124" s="7">
        <v>20781988690.307106</v>
      </c>
      <c r="K124" s="7">
        <v>25810941281.280472</v>
      </c>
      <c r="L124" s="7">
        <v>15306673127.372925</v>
      </c>
      <c r="M124" s="7">
        <v>39314506970.068169</v>
      </c>
    </row>
    <row r="125" spans="1:17" x14ac:dyDescent="0.25">
      <c r="A125" s="12" t="s">
        <v>238</v>
      </c>
      <c r="B125" s="12"/>
      <c r="C125" s="33"/>
      <c r="D125" s="7"/>
      <c r="E125" s="7"/>
      <c r="F125" s="7"/>
      <c r="G125" s="22" t="s">
        <v>45</v>
      </c>
      <c r="H125" s="7">
        <v>42435544101.170609</v>
      </c>
      <c r="I125" s="7">
        <v>94303330023.007263</v>
      </c>
      <c r="J125" s="7">
        <v>173849750213.83777</v>
      </c>
      <c r="K125" s="7">
        <v>277025130435.98279</v>
      </c>
      <c r="L125" s="7">
        <v>382804865615.14569</v>
      </c>
      <c r="M125" s="7">
        <v>493517410105.48279</v>
      </c>
    </row>
    <row r="126" spans="1:17" x14ac:dyDescent="0.25">
      <c r="A126" s="21"/>
      <c r="B126" s="21"/>
      <c r="C126" s="33"/>
      <c r="D126" s="7"/>
      <c r="E126" s="7"/>
      <c r="F126" s="7"/>
      <c r="G126" s="6"/>
      <c r="H126" s="6"/>
      <c r="I126" s="6"/>
      <c r="J126" s="6"/>
      <c r="K126" s="6"/>
      <c r="L126" s="6"/>
      <c r="M126" s="6"/>
    </row>
    <row r="127" spans="1:17" x14ac:dyDescent="0.25">
      <c r="A127" s="12" t="s">
        <v>178</v>
      </c>
      <c r="B127" s="12"/>
      <c r="C127" s="40" t="s">
        <v>20</v>
      </c>
      <c r="D127" s="7"/>
      <c r="E127" s="7"/>
      <c r="F127" s="7"/>
      <c r="G127" s="22" t="s">
        <v>45</v>
      </c>
      <c r="H127" s="7">
        <v>59514767502.400002</v>
      </c>
      <c r="I127" s="7">
        <v>109339006458.94749</v>
      </c>
      <c r="J127" s="162">
        <v>178909532627.04761</v>
      </c>
      <c r="K127" s="162">
        <v>266778429548.57739</v>
      </c>
      <c r="L127" s="162">
        <v>353464469841.69568</v>
      </c>
      <c r="M127" s="162">
        <v>483882574890.89777</v>
      </c>
    </row>
    <row r="128" spans="1:17" x14ac:dyDescent="0.25">
      <c r="A128" s="12" t="s">
        <v>101</v>
      </c>
      <c r="B128" s="12"/>
      <c r="C128" s="17"/>
      <c r="D128" s="7"/>
      <c r="E128" s="7"/>
      <c r="F128" s="7"/>
      <c r="G128" s="22" t="s">
        <v>45</v>
      </c>
      <c r="H128" s="7">
        <v>3960538792.7659798</v>
      </c>
      <c r="I128" s="7">
        <v>7571531494.9594698</v>
      </c>
      <c r="J128" s="162">
        <v>15722206277.097328</v>
      </c>
      <c r="K128" s="162">
        <v>36057642168.38868</v>
      </c>
      <c r="L128" s="162">
        <v>44647068900.821724</v>
      </c>
      <c r="M128" s="162">
        <v>48949342184.653168</v>
      </c>
    </row>
    <row r="129" spans="1:17" x14ac:dyDescent="0.25">
      <c r="A129" s="12"/>
      <c r="B129" s="12"/>
      <c r="C129" s="17"/>
      <c r="D129" s="7"/>
      <c r="E129" s="7"/>
      <c r="F129" s="7"/>
      <c r="G129" s="22"/>
      <c r="H129" s="7"/>
      <c r="I129" s="7"/>
      <c r="J129" s="7"/>
      <c r="K129" s="7"/>
      <c r="L129" s="7"/>
      <c r="M129" s="7"/>
    </row>
    <row r="130" spans="1:17" x14ac:dyDescent="0.25">
      <c r="A130" s="12" t="s">
        <v>177</v>
      </c>
      <c r="B130" s="12"/>
      <c r="C130" s="40" t="s">
        <v>20</v>
      </c>
      <c r="D130" s="7"/>
      <c r="E130" s="7"/>
      <c r="F130" s="7"/>
      <c r="G130" s="22"/>
      <c r="H130" s="7">
        <v>7129349669.5740795</v>
      </c>
      <c r="I130" s="7">
        <v>8938248690.7434998</v>
      </c>
      <c r="J130" s="7">
        <v>8849791369.4368935</v>
      </c>
      <c r="K130" s="7">
        <v>12604483507.804371</v>
      </c>
      <c r="L130" s="7">
        <v>10604044866.859459</v>
      </c>
      <c r="M130" s="7">
        <v>9537193473.0247974</v>
      </c>
    </row>
    <row r="131" spans="1:17" x14ac:dyDescent="0.25">
      <c r="A131" s="12" t="s">
        <v>176</v>
      </c>
      <c r="B131" s="12"/>
      <c r="C131" s="17"/>
      <c r="D131" s="7"/>
      <c r="E131" s="7"/>
      <c r="F131" s="7"/>
      <c r="G131" s="22"/>
      <c r="H131" s="7">
        <v>56345956626.591904</v>
      </c>
      <c r="I131" s="7">
        <v>107972289263.30844</v>
      </c>
      <c r="J131" s="7">
        <v>185781947534.70801</v>
      </c>
      <c r="K131" s="7">
        <v>290231588209.45947</v>
      </c>
      <c r="L131" s="7">
        <v>387507493875.65771</v>
      </c>
      <c r="M131" s="7">
        <v>523294723602.52588</v>
      </c>
    </row>
    <row r="132" spans="1:17" x14ac:dyDescent="0.25">
      <c r="A132" s="21"/>
      <c r="B132" s="21"/>
      <c r="C132" s="1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7" x14ac:dyDescent="0.25">
      <c r="A133" s="101" t="s">
        <v>174</v>
      </c>
      <c r="B133" s="101"/>
      <c r="C133" s="136" t="s">
        <v>52</v>
      </c>
      <c r="D133" s="137"/>
      <c r="E133" s="138">
        <f t="shared" ref="E133:M133" si="28">E120/E47/12/1000</f>
        <v>0.13337324336876435</v>
      </c>
      <c r="F133" s="138">
        <f t="shared" si="28"/>
        <v>0.29964370517767192</v>
      </c>
      <c r="G133" s="138">
        <f t="shared" si="28"/>
        <v>0.50198783805604197</v>
      </c>
      <c r="H133" s="138">
        <f t="shared" si="28"/>
        <v>0.84051700512313676</v>
      </c>
      <c r="I133" s="138">
        <f t="shared" si="28"/>
        <v>1.1729827443834171</v>
      </c>
      <c r="J133" s="138">
        <f t="shared" si="28"/>
        <v>1.9383818862068518</v>
      </c>
      <c r="K133" s="138">
        <f t="shared" si="28"/>
        <v>2.9069836832554605</v>
      </c>
      <c r="L133" s="138">
        <f t="shared" si="28"/>
        <v>3.7026350236104046</v>
      </c>
      <c r="M133" s="138">
        <f t="shared" si="28"/>
        <v>4.7552433062228472</v>
      </c>
      <c r="N133" s="156"/>
      <c r="O133" s="156"/>
    </row>
    <row r="134" spans="1:17" x14ac:dyDescent="0.25">
      <c r="A134" s="12" t="s">
        <v>84</v>
      </c>
      <c r="B134" s="12"/>
      <c r="C134" s="17"/>
      <c r="D134" s="7"/>
      <c r="E134" s="30">
        <f t="shared" ref="E134:L134" si="29">E121/(E48)/12/1000</f>
        <v>9.8831607675109692E-2</v>
      </c>
      <c r="F134" s="30">
        <f t="shared" si="29"/>
        <v>0.28937246243033332</v>
      </c>
      <c r="G134" s="30">
        <f t="shared" si="29"/>
        <v>0.65613097732339754</v>
      </c>
      <c r="H134" s="30">
        <f t="shared" si="29"/>
        <v>1.5949826709326944</v>
      </c>
      <c r="I134" s="30">
        <f t="shared" si="29"/>
        <v>2.7337841019107292</v>
      </c>
      <c r="J134" s="30">
        <f t="shared" si="29"/>
        <v>1.9628990760611504</v>
      </c>
      <c r="K134" s="30">
        <f t="shared" si="29"/>
        <v>2.9791074997820912</v>
      </c>
      <c r="L134" s="30">
        <f t="shared" si="29"/>
        <v>3.9368828003299465</v>
      </c>
      <c r="M134" s="30">
        <f>M121/(M48)/12/1000</f>
        <v>5.1309520985555075</v>
      </c>
      <c r="N134" s="156"/>
    </row>
    <row r="135" spans="1:17" x14ac:dyDescent="0.25">
      <c r="A135" s="12" t="s">
        <v>183</v>
      </c>
      <c r="B135" s="12"/>
      <c r="C135" s="17"/>
      <c r="D135" s="7"/>
      <c r="E135" s="30">
        <f>E122/(J49)/12/1000</f>
        <v>9.1126560144756646E-2</v>
      </c>
      <c r="F135" s="30">
        <f t="shared" ref="F135:G135" si="30">F122/(K49)/12/1000</f>
        <v>0.18297654855911386</v>
      </c>
      <c r="G135" s="30">
        <f t="shared" si="30"/>
        <v>0.3303783248441306</v>
      </c>
      <c r="H135" s="30">
        <f>H122/(H49)/12/1000</f>
        <v>0.41561084807418303</v>
      </c>
      <c r="I135" s="30">
        <f t="shared" ref="I135:M135" si="31">I122/(I49)/12/1000</f>
        <v>0.51620385424025528</v>
      </c>
      <c r="J135" s="30">
        <f t="shared" si="31"/>
        <v>1.8804618912866851</v>
      </c>
      <c r="K135" s="30">
        <f t="shared" si="31"/>
        <v>2.7375699950231827</v>
      </c>
      <c r="L135" s="30">
        <f t="shared" si="31"/>
        <v>3.1585899222218088</v>
      </c>
      <c r="M135" s="30">
        <f t="shared" si="31"/>
        <v>3.8683802569246057</v>
      </c>
      <c r="N135" s="156"/>
      <c r="Q135" s="156"/>
    </row>
    <row r="136" spans="1:17" x14ac:dyDescent="0.25">
      <c r="A136" s="12"/>
      <c r="B136" s="12"/>
      <c r="C136" s="17"/>
      <c r="D136" s="7"/>
      <c r="E136" s="30"/>
      <c r="F136" s="30"/>
      <c r="G136" s="30"/>
      <c r="H136" s="30"/>
      <c r="I136" s="30"/>
      <c r="J136" s="30"/>
      <c r="K136" s="30"/>
      <c r="L136" s="30"/>
      <c r="M136" s="30"/>
      <c r="N136" s="156"/>
    </row>
    <row r="137" spans="1:17" x14ac:dyDescent="0.25">
      <c r="A137" s="12" t="s">
        <v>239</v>
      </c>
      <c r="B137" s="12"/>
      <c r="C137" s="40" t="s">
        <v>52</v>
      </c>
      <c r="D137" s="7"/>
      <c r="E137" s="30"/>
      <c r="F137" s="30"/>
      <c r="G137" s="30"/>
      <c r="H137" s="98"/>
      <c r="I137" s="98"/>
      <c r="J137" s="98"/>
      <c r="K137" s="98"/>
      <c r="L137" s="98"/>
      <c r="M137" s="98">
        <f>M124/M59/12/1000</f>
        <v>0.40980011687468876</v>
      </c>
      <c r="N137" s="156"/>
    </row>
    <row r="138" spans="1:17" x14ac:dyDescent="0.25">
      <c r="A138" s="12" t="s">
        <v>242</v>
      </c>
      <c r="B138" s="12"/>
      <c r="C138" s="17"/>
      <c r="D138" s="7"/>
      <c r="E138" s="30"/>
      <c r="F138" s="30"/>
      <c r="G138" s="30"/>
      <c r="H138" s="30"/>
      <c r="I138" s="30"/>
      <c r="J138" s="30"/>
      <c r="K138" s="30"/>
      <c r="L138" s="30"/>
      <c r="M138" s="30">
        <f>M125/(M60)/12/1000</f>
        <v>4.8680273178741134</v>
      </c>
      <c r="N138" s="156"/>
    </row>
    <row r="139" spans="1:17" x14ac:dyDescent="0.25">
      <c r="A139" s="12"/>
      <c r="B139" s="12"/>
      <c r="C139" s="17"/>
      <c r="D139" s="7"/>
      <c r="E139" s="30"/>
      <c r="F139" s="30"/>
      <c r="G139" s="30"/>
      <c r="H139" s="30"/>
      <c r="I139" s="30"/>
      <c r="J139" s="30"/>
      <c r="K139" s="30"/>
      <c r="L139" s="30"/>
      <c r="M139" s="30"/>
      <c r="N139" s="156"/>
    </row>
    <row r="140" spans="1:17" x14ac:dyDescent="0.25">
      <c r="A140" s="12" t="s">
        <v>102</v>
      </c>
      <c r="B140" s="12"/>
      <c r="C140" s="40" t="s">
        <v>52</v>
      </c>
      <c r="D140" s="7"/>
      <c r="E140" s="30"/>
      <c r="F140" s="30"/>
      <c r="G140" s="30"/>
      <c r="H140" s="30">
        <f t="shared" ref="H140:M140" si="32">H127/H53/12/1000</f>
        <v>0.86844888720787228</v>
      </c>
      <c r="I140" s="30">
        <f t="shared" si="32"/>
        <v>1.180464935737249</v>
      </c>
      <c r="J140" s="30">
        <f t="shared" si="32"/>
        <v>1.8760503343076489</v>
      </c>
      <c r="K140" s="30">
        <f t="shared" si="32"/>
        <v>2.6819903693537817</v>
      </c>
      <c r="L140" s="30">
        <f t="shared" si="32"/>
        <v>3.4321142659735457</v>
      </c>
      <c r="M140" s="30">
        <f t="shared" si="32"/>
        <v>4.4854313513603348</v>
      </c>
      <c r="N140" s="156"/>
    </row>
    <row r="141" spans="1:17" x14ac:dyDescent="0.25">
      <c r="A141" s="12" t="s">
        <v>103</v>
      </c>
      <c r="B141" s="12"/>
      <c r="C141" s="17"/>
      <c r="D141" s="7"/>
      <c r="E141" s="30"/>
      <c r="F141" s="30"/>
      <c r="G141" s="30"/>
      <c r="H141" s="99">
        <f t="shared" ref="H141:M141" si="33">H128/H55/12/1000</f>
        <v>0.56664932508741517</v>
      </c>
      <c r="I141" s="99">
        <f t="shared" si="33"/>
        <v>1.074621786219276</v>
      </c>
      <c r="J141" s="99">
        <f t="shared" si="33"/>
        <v>3.1167693305947135</v>
      </c>
      <c r="K141" s="99">
        <f t="shared" si="33"/>
        <v>7.6636142336583211</v>
      </c>
      <c r="L141" s="99">
        <f t="shared" si="33"/>
        <v>9.847699986682505</v>
      </c>
      <c r="M141" s="99">
        <f t="shared" si="33"/>
        <v>11.730754637881036</v>
      </c>
      <c r="N141" s="156"/>
    </row>
    <row r="142" spans="1:17" x14ac:dyDescent="0.25">
      <c r="A142" s="21"/>
      <c r="B142" s="21"/>
      <c r="C142" s="17"/>
      <c r="D142" s="7"/>
      <c r="E142" s="7"/>
      <c r="F142" s="7"/>
      <c r="G142" s="6"/>
      <c r="H142" s="6"/>
      <c r="I142" s="7"/>
      <c r="J142" s="7"/>
      <c r="K142" s="7"/>
      <c r="L142" s="7"/>
      <c r="M142" s="7"/>
      <c r="N142" s="156"/>
    </row>
    <row r="143" spans="1:17" x14ac:dyDescent="0.25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</sheetData>
  <mergeCells count="1">
    <mergeCell ref="A18:B18"/>
  </mergeCells>
  <hyperlinks>
    <hyperlink ref="A1" location="Inhoudstafel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 L34" formulaRange="1"/>
    <ignoredError sqref="E80" formula="1"/>
    <ignoredError sqref="I1:M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6"/>
  <sheetViews>
    <sheetView showGridLines="0" zoomScale="75" zoomScaleNormal="75" workbookViewId="0">
      <pane xSplit="3" topLeftCell="K1" activePane="topRight" state="frozen"/>
      <selection pane="topRight" activeCell="S3" sqref="S3"/>
    </sheetView>
  </sheetViews>
  <sheetFormatPr baseColWidth="10" defaultColWidth="9.140625"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9" width="12.5703125" bestFit="1" customWidth="1"/>
    <col min="20" max="21" width="10.42578125" bestFit="1" customWidth="1"/>
  </cols>
  <sheetData>
    <row r="1" spans="1:22" ht="27" customHeight="1" x14ac:dyDescent="0.3">
      <c r="A1" s="97" t="s">
        <v>180</v>
      </c>
      <c r="D1" s="43">
        <v>2007</v>
      </c>
      <c r="E1" s="43">
        <v>2008</v>
      </c>
      <c r="F1" s="43">
        <v>2009</v>
      </c>
      <c r="G1" s="43">
        <v>2010</v>
      </c>
      <c r="H1" s="43">
        <v>2011</v>
      </c>
      <c r="I1" s="43">
        <v>2012</v>
      </c>
      <c r="J1" s="43">
        <v>2013</v>
      </c>
      <c r="K1" s="43">
        <v>2014</v>
      </c>
      <c r="L1" s="43">
        <v>2015</v>
      </c>
      <c r="M1" s="43">
        <v>2016</v>
      </c>
      <c r="N1" s="43" t="s">
        <v>39</v>
      </c>
      <c r="O1" s="43" t="s">
        <v>196</v>
      </c>
      <c r="P1" s="43" t="s">
        <v>212</v>
      </c>
      <c r="Q1" s="43" t="s">
        <v>218</v>
      </c>
      <c r="R1" s="43" t="s">
        <v>225</v>
      </c>
    </row>
    <row r="2" spans="1:22" ht="27" customHeight="1" x14ac:dyDescent="0.25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2" x14ac:dyDescent="0.25">
      <c r="A3" s="115" t="s">
        <v>229</v>
      </c>
      <c r="B3" s="113"/>
      <c r="C3" s="114"/>
      <c r="D3" s="115">
        <f>SUM(D4:D6)</f>
        <v>479528</v>
      </c>
      <c r="E3" s="115">
        <f t="shared" ref="E3:R3" si="0">SUM(E4:E6)</f>
        <v>813728</v>
      </c>
      <c r="F3" s="115">
        <f t="shared" si="0"/>
        <v>1291579</v>
      </c>
      <c r="G3" s="115">
        <f t="shared" si="0"/>
        <v>1851944</v>
      </c>
      <c r="H3" s="115">
        <f t="shared" si="0"/>
        <v>2258689.9999999995</v>
      </c>
      <c r="I3" s="115">
        <f t="shared" si="0"/>
        <v>2625173</v>
      </c>
      <c r="J3" s="115">
        <f t="shared" si="0"/>
        <v>2769559.1276441435</v>
      </c>
      <c r="K3" s="115">
        <f t="shared" si="0"/>
        <v>2858256</v>
      </c>
      <c r="L3" s="115">
        <f t="shared" si="0"/>
        <v>2943533</v>
      </c>
      <c r="M3" s="115">
        <f t="shared" si="0"/>
        <v>3058175</v>
      </c>
      <c r="N3" s="115">
        <f t="shared" si="0"/>
        <v>3189776</v>
      </c>
      <c r="O3" s="115">
        <f t="shared" si="0"/>
        <v>3195773.9825969455</v>
      </c>
      <c r="P3" s="115">
        <f t="shared" si="0"/>
        <v>3280008.0002601594</v>
      </c>
      <c r="Q3" s="115">
        <f t="shared" si="0"/>
        <v>3339057.551017222</v>
      </c>
      <c r="R3" s="115">
        <f t="shared" si="0"/>
        <v>3403694.6608061753</v>
      </c>
      <c r="S3" s="2"/>
      <c r="T3" s="2"/>
    </row>
    <row r="4" spans="1:22" x14ac:dyDescent="0.25">
      <c r="A4" s="12" t="s">
        <v>21</v>
      </c>
      <c r="B4" s="52"/>
      <c r="C4" s="54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7">
        <v>635380.32158886129</v>
      </c>
      <c r="R4" s="7">
        <v>658586.34233848075</v>
      </c>
      <c r="T4" s="2"/>
      <c r="U4" s="58"/>
    </row>
    <row r="5" spans="1:22" x14ac:dyDescent="0.25">
      <c r="A5" s="12" t="s">
        <v>22</v>
      </c>
      <c r="B5" s="52"/>
      <c r="C5" s="54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7">
        <v>1586767.2093368431</v>
      </c>
      <c r="R5" s="7">
        <v>1586509.8182174303</v>
      </c>
    </row>
    <row r="6" spans="1:22" x14ac:dyDescent="0.25">
      <c r="A6" s="12" t="s">
        <v>23</v>
      </c>
      <c r="B6" s="52"/>
      <c r="C6" s="54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7">
        <v>1116910.0200915181</v>
      </c>
      <c r="R6" s="7">
        <v>1158598.5002502641</v>
      </c>
    </row>
    <row r="7" spans="1:22" x14ac:dyDescent="0.25">
      <c r="A7" s="7"/>
      <c r="B7" s="84"/>
      <c r="C7" s="94"/>
    </row>
    <row r="8" spans="1:22" x14ac:dyDescent="0.25">
      <c r="A8" s="115" t="s">
        <v>185</v>
      </c>
      <c r="B8" s="113"/>
      <c r="C8" s="114"/>
      <c r="D8" s="115">
        <f>SUM(D9:D14)</f>
        <v>409665</v>
      </c>
      <c r="E8" s="115">
        <f t="shared" ref="E8:R8" si="1">SUM(E9:E14)</f>
        <v>618833</v>
      </c>
      <c r="F8" s="115">
        <f t="shared" si="1"/>
        <v>757277</v>
      </c>
      <c r="G8" s="115">
        <f t="shared" si="1"/>
        <v>866163</v>
      </c>
      <c r="H8" s="115">
        <f t="shared" si="1"/>
        <v>917764.85322102555</v>
      </c>
      <c r="I8" s="115">
        <f t="shared" si="1"/>
        <v>996526</v>
      </c>
      <c r="J8" s="115">
        <f t="shared" si="1"/>
        <v>978821.12764414353</v>
      </c>
      <c r="K8" s="115">
        <f t="shared" si="1"/>
        <v>703098</v>
      </c>
      <c r="L8" s="115">
        <f t="shared" si="1"/>
        <v>566157</v>
      </c>
      <c r="M8" s="115">
        <f t="shared" si="1"/>
        <v>560961</v>
      </c>
      <c r="N8" s="115">
        <f t="shared" si="1"/>
        <v>567167</v>
      </c>
      <c r="O8" s="115">
        <f t="shared" si="1"/>
        <v>613850.246095223</v>
      </c>
      <c r="P8" s="115">
        <f t="shared" si="1"/>
        <v>598291.36177619302</v>
      </c>
      <c r="Q8" s="115">
        <f t="shared" si="1"/>
        <v>635380.32158886129</v>
      </c>
      <c r="R8" s="115">
        <f t="shared" si="1"/>
        <v>658586.34233848075</v>
      </c>
      <c r="T8" s="2"/>
    </row>
    <row r="9" spans="1:22" x14ac:dyDescent="0.25">
      <c r="A9" s="12" t="s">
        <v>25</v>
      </c>
      <c r="B9" s="52"/>
      <c r="C9" s="54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  <c r="Q9" s="7">
        <v>71615.919983381798</v>
      </c>
      <c r="R9" s="7">
        <v>58208.381936579797</v>
      </c>
      <c r="T9" s="2"/>
    </row>
    <row r="10" spans="1:22" x14ac:dyDescent="0.25">
      <c r="A10" s="12" t="s">
        <v>24</v>
      </c>
      <c r="B10" s="52"/>
      <c r="C10" s="54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Q10" s="7">
        <v>72862.551017222533</v>
      </c>
      <c r="R10" s="7">
        <v>111099.66080617496</v>
      </c>
      <c r="T10" s="2"/>
      <c r="V10" s="58"/>
    </row>
    <row r="11" spans="1:22" x14ac:dyDescent="0.25">
      <c r="A11" s="12" t="s">
        <v>26</v>
      </c>
      <c r="B11" s="52"/>
      <c r="C11" s="54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  <c r="Q11" s="7">
        <v>391383.85058825696</v>
      </c>
      <c r="R11" s="7">
        <v>403162.29959572601</v>
      </c>
      <c r="T11" s="2"/>
    </row>
    <row r="12" spans="1:22" x14ac:dyDescent="0.25">
      <c r="A12" s="12" t="s">
        <v>27</v>
      </c>
      <c r="B12" s="52"/>
      <c r="C12" s="54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  <c r="Q12" s="7">
        <v>99384</v>
      </c>
      <c r="R12" s="7">
        <v>85983</v>
      </c>
      <c r="T12" s="2"/>
    </row>
    <row r="13" spans="1:22" x14ac:dyDescent="0.25">
      <c r="A13" s="12" t="s">
        <v>28</v>
      </c>
      <c r="B13" s="52"/>
      <c r="C13" s="54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  <c r="Q13" s="7">
        <v>76</v>
      </c>
      <c r="R13" s="7">
        <v>66</v>
      </c>
      <c r="T13" s="2"/>
    </row>
    <row r="14" spans="1:22" x14ac:dyDescent="0.25">
      <c r="A14" s="12" t="s">
        <v>29</v>
      </c>
      <c r="B14" s="52"/>
      <c r="C14" s="54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  <c r="Q14" s="7">
        <v>58</v>
      </c>
      <c r="R14" s="7">
        <v>67</v>
      </c>
      <c r="T14" s="2"/>
    </row>
    <row r="15" spans="1:22" x14ac:dyDescent="0.25">
      <c r="B15" s="90"/>
      <c r="C15" s="91"/>
    </row>
    <row r="16" spans="1:22" x14ac:dyDescent="0.25">
      <c r="A16" s="115" t="s">
        <v>184</v>
      </c>
      <c r="B16" s="113"/>
      <c r="C16" s="114"/>
      <c r="D16" s="115">
        <f>SUM(D17:D20)</f>
        <v>69863</v>
      </c>
      <c r="E16" s="115">
        <f t="shared" ref="E16:R16" si="2">SUM(E17:E20)</f>
        <v>194895</v>
      </c>
      <c r="F16" s="115">
        <f t="shared" si="2"/>
        <v>520807</v>
      </c>
      <c r="G16" s="115">
        <f t="shared" si="2"/>
        <v>939468</v>
      </c>
      <c r="H16" s="115">
        <f t="shared" si="2"/>
        <v>1262084.146778974</v>
      </c>
      <c r="I16" s="115">
        <f t="shared" si="2"/>
        <v>1519443</v>
      </c>
      <c r="J16" s="115">
        <f t="shared" si="2"/>
        <v>1614520</v>
      </c>
      <c r="K16" s="115">
        <f t="shared" si="2"/>
        <v>1538458</v>
      </c>
      <c r="L16" s="115">
        <f t="shared" si="2"/>
        <v>1640302</v>
      </c>
      <c r="M16" s="115">
        <f t="shared" si="2"/>
        <v>1659756</v>
      </c>
      <c r="N16" s="115">
        <f t="shared" si="2"/>
        <v>1683691</v>
      </c>
      <c r="O16" s="115">
        <f t="shared" si="2"/>
        <v>1702063.6865625645</v>
      </c>
      <c r="P16" s="115">
        <f t="shared" si="2"/>
        <v>1604188.0336328766</v>
      </c>
      <c r="Q16" s="115">
        <f t="shared" si="2"/>
        <v>1586767.2093368431</v>
      </c>
      <c r="R16" s="115">
        <f t="shared" si="2"/>
        <v>1586509.8182174303</v>
      </c>
    </row>
    <row r="17" spans="1:22" x14ac:dyDescent="0.25">
      <c r="A17" s="12" t="s">
        <v>30</v>
      </c>
      <c r="B17" s="52"/>
      <c r="C17" s="54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  <c r="Q17" s="7">
        <v>1052747.9799084819</v>
      </c>
      <c r="R17" s="7">
        <v>851539.49974973593</v>
      </c>
      <c r="T17" s="2"/>
    </row>
    <row r="18" spans="1:22" x14ac:dyDescent="0.25">
      <c r="A18" s="12" t="s">
        <v>31</v>
      </c>
      <c r="B18" s="52"/>
      <c r="C18" s="54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  <c r="Q18" s="7">
        <v>501597.14941174304</v>
      </c>
      <c r="R18" s="7">
        <v>706017.70040427404</v>
      </c>
      <c r="T18" s="31"/>
    </row>
    <row r="19" spans="1:22" x14ac:dyDescent="0.25">
      <c r="A19" s="12" t="s">
        <v>32</v>
      </c>
      <c r="B19" s="52"/>
      <c r="C19" s="54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  <c r="Q19" s="7">
        <v>18383.080016618202</v>
      </c>
      <c r="R19" s="7">
        <v>17268.618063420199</v>
      </c>
    </row>
    <row r="20" spans="1:22" x14ac:dyDescent="0.25">
      <c r="A20" s="12" t="s">
        <v>33</v>
      </c>
      <c r="B20" s="52"/>
      <c r="C20" s="54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  <c r="Q20" s="7">
        <v>14039</v>
      </c>
      <c r="R20" s="7">
        <v>11684</v>
      </c>
    </row>
    <row r="21" spans="1:22" x14ac:dyDescent="0.25">
      <c r="B21" s="90"/>
      <c r="C21" s="91"/>
    </row>
    <row r="22" spans="1:22" x14ac:dyDescent="0.25">
      <c r="A22" s="115" t="s">
        <v>186</v>
      </c>
      <c r="B22" s="113"/>
      <c r="C22" s="114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</row>
    <row r="23" spans="1:22" x14ac:dyDescent="0.25">
      <c r="A23" s="118" t="s">
        <v>230</v>
      </c>
      <c r="B23" s="139"/>
      <c r="C23" s="136"/>
      <c r="D23" s="101"/>
      <c r="E23" s="101"/>
      <c r="F23" s="101"/>
      <c r="G23" s="101">
        <f>G24+G25</f>
        <v>2622603</v>
      </c>
      <c r="H23" s="101">
        <f t="shared" ref="H23:N23" si="3">H24+H25</f>
        <v>2923209.9999999995</v>
      </c>
      <c r="I23" s="101">
        <f t="shared" si="3"/>
        <v>3080359.5</v>
      </c>
      <c r="J23" s="101">
        <f t="shared" si="3"/>
        <v>3137331.1276441435</v>
      </c>
      <c r="K23" s="101">
        <f t="shared" si="3"/>
        <v>3224763</v>
      </c>
      <c r="L23" s="101">
        <f t="shared" si="3"/>
        <v>3305432</v>
      </c>
      <c r="M23" s="101">
        <f t="shared" si="3"/>
        <v>3411691</v>
      </c>
      <c r="N23" s="101">
        <f t="shared" si="3"/>
        <v>3368880</v>
      </c>
      <c r="O23" s="101">
        <v>3674612.9825969455</v>
      </c>
      <c r="P23" s="101">
        <v>3820646.0000000005</v>
      </c>
      <c r="Q23" s="101">
        <v>3965033</v>
      </c>
      <c r="R23" s="101">
        <f>R24+R25</f>
        <v>4057946</v>
      </c>
    </row>
    <row r="24" spans="1:22" x14ac:dyDescent="0.25">
      <c r="A24" s="26" t="s">
        <v>157</v>
      </c>
      <c r="B24" s="51"/>
      <c r="C24" s="40"/>
      <c r="D24" s="7"/>
      <c r="E24" s="7"/>
      <c r="F24" s="7"/>
      <c r="G24" s="7">
        <v>876378</v>
      </c>
      <c r="H24" s="7">
        <v>819723</v>
      </c>
      <c r="I24" s="7">
        <v>659369.5</v>
      </c>
      <c r="J24" s="7">
        <v>579333</v>
      </c>
      <c r="K24" s="7">
        <v>575550</v>
      </c>
      <c r="L24" s="7">
        <v>556454</v>
      </c>
      <c r="M24" s="7">
        <v>544282</v>
      </c>
      <c r="N24" s="7">
        <v>361091</v>
      </c>
      <c r="O24" s="7">
        <v>646208</v>
      </c>
      <c r="P24" s="7">
        <v>688973.99973984098</v>
      </c>
      <c r="Q24" s="7">
        <v>739532.44898277696</v>
      </c>
      <c r="R24" s="7">
        <v>752051.33919382503</v>
      </c>
      <c r="S24" s="2"/>
      <c r="T24" s="2"/>
      <c r="U24" s="2"/>
      <c r="V24" s="2"/>
    </row>
    <row r="25" spans="1:22" x14ac:dyDescent="0.25">
      <c r="A25" s="26" t="s">
        <v>158</v>
      </c>
      <c r="B25" s="51"/>
      <c r="C25" s="40"/>
      <c r="D25" s="7"/>
      <c r="E25" s="7"/>
      <c r="F25" s="7"/>
      <c r="G25" s="7">
        <v>1746225</v>
      </c>
      <c r="H25" s="7">
        <v>2103486.9999999995</v>
      </c>
      <c r="I25" s="7">
        <v>2420990</v>
      </c>
      <c r="J25" s="7">
        <v>2557998.1276441435</v>
      </c>
      <c r="K25" s="7">
        <v>2649213</v>
      </c>
      <c r="L25" s="7">
        <v>2748978</v>
      </c>
      <c r="M25" s="7">
        <v>2867409</v>
      </c>
      <c r="N25" s="7">
        <v>3007789</v>
      </c>
      <c r="O25" s="7">
        <v>3028404.9825969455</v>
      </c>
      <c r="P25" s="7">
        <v>3131672.0002601594</v>
      </c>
      <c r="Q25" s="7">
        <v>3225500.5510172229</v>
      </c>
      <c r="R25" s="7">
        <v>3305894.6608061749</v>
      </c>
    </row>
    <row r="26" spans="1:22" x14ac:dyDescent="0.25">
      <c r="A26" s="118" t="s">
        <v>159</v>
      </c>
      <c r="B26" s="139"/>
      <c r="C26" s="136"/>
      <c r="D26" s="101"/>
      <c r="E26" s="101"/>
      <c r="F26" s="101"/>
      <c r="G26" s="101">
        <f>G27+G28</f>
        <v>3780912</v>
      </c>
      <c r="H26" s="101">
        <f t="shared" ref="H26:N26" si="4">H27+H28</f>
        <v>3956024.9999999995</v>
      </c>
      <c r="I26" s="101">
        <f t="shared" si="4"/>
        <v>4006758</v>
      </c>
      <c r="J26" s="101">
        <f t="shared" si="4"/>
        <v>3940766.0886014747</v>
      </c>
      <c r="K26" s="101">
        <f t="shared" si="4"/>
        <v>3948525</v>
      </c>
      <c r="L26" s="101">
        <f t="shared" si="4"/>
        <v>3947536</v>
      </c>
      <c r="M26" s="101">
        <f t="shared" si="4"/>
        <v>4238823</v>
      </c>
      <c r="N26" s="101">
        <f t="shared" si="4"/>
        <v>4298955</v>
      </c>
      <c r="O26" s="101">
        <v>4075167.0000000005</v>
      </c>
      <c r="P26" s="101">
        <v>4061354</v>
      </c>
      <c r="Q26" s="101">
        <v>3996380</v>
      </c>
      <c r="R26" s="101">
        <f>R27+R28</f>
        <v>3974676</v>
      </c>
    </row>
    <row r="27" spans="1:22" x14ac:dyDescent="0.25">
      <c r="A27" s="26" t="s">
        <v>157</v>
      </c>
      <c r="B27" s="51"/>
      <c r="C27" s="40"/>
      <c r="D27" s="7"/>
      <c r="E27" s="7"/>
      <c r="F27" s="7"/>
      <c r="G27" s="7">
        <v>2246809</v>
      </c>
      <c r="H27" s="7">
        <v>1992179</v>
      </c>
      <c r="I27" s="7">
        <v>1642828</v>
      </c>
      <c r="J27" s="7">
        <v>1443256</v>
      </c>
      <c r="K27" s="7">
        <v>1317987</v>
      </c>
      <c r="L27" s="7">
        <v>1195804</v>
      </c>
      <c r="M27" s="7">
        <v>1380831</v>
      </c>
      <c r="N27" s="7">
        <v>1262216</v>
      </c>
      <c r="O27" s="7">
        <v>988200</v>
      </c>
      <c r="P27" s="7">
        <v>903580</v>
      </c>
      <c r="Q27" s="7">
        <v>820260</v>
      </c>
      <c r="R27" s="7">
        <v>757624</v>
      </c>
    </row>
    <row r="28" spans="1:22" x14ac:dyDescent="0.25">
      <c r="A28" s="26" t="s">
        <v>158</v>
      </c>
      <c r="B28" s="51"/>
      <c r="C28" s="40"/>
      <c r="D28" s="7"/>
      <c r="E28" s="7"/>
      <c r="F28" s="7"/>
      <c r="G28" s="7">
        <v>1534103</v>
      </c>
      <c r="H28" s="7">
        <v>1963845.9999999995</v>
      </c>
      <c r="I28" s="7">
        <v>2363930</v>
      </c>
      <c r="J28" s="7">
        <v>2497510.0886014747</v>
      </c>
      <c r="K28" s="7">
        <v>2630538</v>
      </c>
      <c r="L28" s="7">
        <v>2751732</v>
      </c>
      <c r="M28" s="7">
        <v>2857992</v>
      </c>
      <c r="N28" s="7">
        <v>3036739</v>
      </c>
      <c r="O28" s="7">
        <v>3086967.0000000005</v>
      </c>
      <c r="P28" s="7">
        <v>3157774</v>
      </c>
      <c r="Q28" s="7">
        <v>3176120</v>
      </c>
      <c r="R28" s="7">
        <v>3217052</v>
      </c>
    </row>
    <row r="29" spans="1:22" x14ac:dyDescent="0.25">
      <c r="A29" s="118" t="s">
        <v>160</v>
      </c>
      <c r="B29" s="139"/>
      <c r="C29" s="136"/>
      <c r="D29" s="101"/>
      <c r="E29" s="101"/>
      <c r="F29" s="101"/>
      <c r="G29" s="101">
        <f t="shared" ref="G29:N29" si="5">G30+G31</f>
        <v>2397474</v>
      </c>
      <c r="H29" s="101">
        <f t="shared" si="5"/>
        <v>2953338.1467789738</v>
      </c>
      <c r="I29" s="101">
        <f t="shared" si="5"/>
        <v>2981722</v>
      </c>
      <c r="J29" s="101">
        <f t="shared" si="5"/>
        <v>3030970.0390426689</v>
      </c>
      <c r="K29" s="101">
        <f t="shared" si="5"/>
        <v>3063374.44</v>
      </c>
      <c r="L29" s="101">
        <f t="shared" si="5"/>
        <v>3098318.2800000003</v>
      </c>
      <c r="M29" s="101">
        <f t="shared" si="5"/>
        <v>3029358</v>
      </c>
      <c r="N29" s="101">
        <f t="shared" si="5"/>
        <v>2966729</v>
      </c>
      <c r="O29" s="101">
        <v>2957939</v>
      </c>
      <c r="P29" s="101">
        <v>2855343</v>
      </c>
      <c r="Q29" s="101">
        <v>2666189</v>
      </c>
      <c r="R29" s="101">
        <f>R30+R31</f>
        <v>2428655</v>
      </c>
    </row>
    <row r="30" spans="1:22" x14ac:dyDescent="0.25">
      <c r="A30" s="26" t="s">
        <v>157</v>
      </c>
      <c r="B30" s="51"/>
      <c r="C30" s="40"/>
      <c r="D30" s="7"/>
      <c r="E30" s="7"/>
      <c r="F30" s="7"/>
      <c r="G30" s="7">
        <v>1021145</v>
      </c>
      <c r="H30" s="7">
        <v>1212120</v>
      </c>
      <c r="I30" s="7">
        <v>968824</v>
      </c>
      <c r="J30" s="7">
        <v>857577</v>
      </c>
      <c r="K30" s="7">
        <v>764149.44</v>
      </c>
      <c r="L30" s="7">
        <v>660172.28</v>
      </c>
      <c r="M30" s="7">
        <v>546621</v>
      </c>
      <c r="N30" s="7">
        <v>415717</v>
      </c>
      <c r="O30" s="7">
        <v>404552</v>
      </c>
      <c r="P30" s="7">
        <v>332204</v>
      </c>
      <c r="Q30" s="7">
        <v>293033</v>
      </c>
      <c r="R30" s="7">
        <v>245307</v>
      </c>
    </row>
    <row r="31" spans="1:22" x14ac:dyDescent="0.25">
      <c r="A31" s="26" t="s">
        <v>158</v>
      </c>
      <c r="B31" s="51"/>
      <c r="C31" s="40"/>
      <c r="D31" s="7"/>
      <c r="E31" s="7"/>
      <c r="F31" s="7"/>
      <c r="G31" s="7">
        <v>1376329</v>
      </c>
      <c r="H31" s="7">
        <v>1741218.146778974</v>
      </c>
      <c r="I31" s="7">
        <v>2012898</v>
      </c>
      <c r="J31" s="7">
        <v>2173393.0390426689</v>
      </c>
      <c r="K31" s="7">
        <v>2299225</v>
      </c>
      <c r="L31" s="7">
        <v>2438146</v>
      </c>
      <c r="M31" s="7">
        <v>2482737</v>
      </c>
      <c r="N31" s="7">
        <v>2551012</v>
      </c>
      <c r="O31" s="7">
        <v>2553387</v>
      </c>
      <c r="P31" s="7">
        <v>2523139</v>
      </c>
      <c r="Q31" s="7">
        <v>2373156</v>
      </c>
      <c r="R31" s="7">
        <v>2183348</v>
      </c>
    </row>
    <row r="32" spans="1:22" x14ac:dyDescent="0.25">
      <c r="B32" s="90"/>
      <c r="C32" s="91"/>
    </row>
    <row r="33" spans="1:20" x14ac:dyDescent="0.25">
      <c r="A33" s="115" t="s">
        <v>175</v>
      </c>
      <c r="B33" s="113"/>
      <c r="C33" s="114" t="s">
        <v>49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>
        <f>SUM(N34:N36)</f>
        <v>2592617.2713456759</v>
      </c>
      <c r="O33" s="115">
        <v>2654003.6993577844</v>
      </c>
      <c r="P33" s="115">
        <v>2746681.1341095511</v>
      </c>
      <c r="Q33" s="115">
        <v>2865337.3322532373</v>
      </c>
      <c r="R33" s="115">
        <f>SUM(R34:R36)</f>
        <v>2893242.2034889311</v>
      </c>
    </row>
    <row r="34" spans="1:20" x14ac:dyDescent="0.25">
      <c r="A34" s="12" t="s">
        <v>21</v>
      </c>
      <c r="B34" s="52"/>
      <c r="C34" s="54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305274.5755786075</v>
      </c>
      <c r="O34" s="7">
        <v>350897.85606080841</v>
      </c>
      <c r="P34" s="7">
        <v>346155.68137177266</v>
      </c>
      <c r="Q34" s="7">
        <v>369033.96873076557</v>
      </c>
      <c r="R34" s="7">
        <v>383022.27331233723</v>
      </c>
    </row>
    <row r="35" spans="1:20" x14ac:dyDescent="0.25">
      <c r="A35" s="12" t="s">
        <v>22</v>
      </c>
      <c r="B35" s="52"/>
      <c r="C35" s="54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1404833.5150259477</v>
      </c>
      <c r="O35" s="7">
        <v>1348750.7792857061</v>
      </c>
      <c r="P35" s="7">
        <v>1239524.1189868234</v>
      </c>
      <c r="Q35" s="7">
        <v>1198333.3889199835</v>
      </c>
      <c r="R35" s="7">
        <v>1193779.6016690903</v>
      </c>
    </row>
    <row r="36" spans="1:20" x14ac:dyDescent="0.25">
      <c r="A36" s="12" t="s">
        <v>23</v>
      </c>
      <c r="B36" s="52"/>
      <c r="C36" s="54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882509.18074112071</v>
      </c>
      <c r="O36" s="7">
        <v>954355.06401126948</v>
      </c>
      <c r="P36" s="7">
        <v>1161001.3337509548</v>
      </c>
      <c r="Q36" s="7">
        <v>1297969.9746024879</v>
      </c>
      <c r="R36" s="7">
        <v>1316440.3285075037</v>
      </c>
    </row>
    <row r="37" spans="1:20" x14ac:dyDescent="0.25">
      <c r="B37" s="90"/>
      <c r="C37" s="91"/>
    </row>
    <row r="38" spans="1:20" x14ac:dyDescent="0.25">
      <c r="A38" s="115" t="s">
        <v>187</v>
      </c>
      <c r="B38" s="113"/>
      <c r="C38" s="114" t="s">
        <v>55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</row>
    <row r="39" spans="1:20" x14ac:dyDescent="0.25">
      <c r="A39" s="12" t="s">
        <v>21</v>
      </c>
      <c r="B39" s="52"/>
      <c r="C39" s="54"/>
      <c r="D39" s="7"/>
      <c r="E39" s="7"/>
      <c r="F39" s="7"/>
      <c r="G39" s="7"/>
      <c r="H39" s="7"/>
      <c r="I39" s="7"/>
      <c r="J39" s="7"/>
      <c r="K39" s="7"/>
      <c r="L39" s="7"/>
      <c r="M39" s="7"/>
      <c r="N39" s="30">
        <f t="shared" ref="N39:R41" si="6">(N34*1000)/((M4+N4)/2)/12</f>
        <v>45.100463714904613</v>
      </c>
      <c r="O39" s="30">
        <f t="shared" si="6"/>
        <v>49.519154951797702</v>
      </c>
      <c r="P39" s="30">
        <f t="shared" si="6"/>
        <v>47.59560532145526</v>
      </c>
      <c r="Q39" s="30">
        <f t="shared" si="6"/>
        <v>49.855777906290427</v>
      </c>
      <c r="R39" s="30">
        <f t="shared" si="6"/>
        <v>49.334381890722909</v>
      </c>
    </row>
    <row r="40" spans="1:20" x14ac:dyDescent="0.25">
      <c r="A40" s="12" t="s">
        <v>22</v>
      </c>
      <c r="B40" s="52"/>
      <c r="C40" s="54"/>
      <c r="D40" s="7"/>
      <c r="E40" s="7"/>
      <c r="F40" s="7"/>
      <c r="G40" s="7"/>
      <c r="H40" s="7"/>
      <c r="I40" s="7"/>
      <c r="J40" s="7"/>
      <c r="K40" s="7"/>
      <c r="L40" s="7"/>
      <c r="M40" s="7"/>
      <c r="N40" s="30">
        <f t="shared" si="6"/>
        <v>70.029200155106778</v>
      </c>
      <c r="O40" s="30">
        <f t="shared" si="6"/>
        <v>66.393409256664356</v>
      </c>
      <c r="P40" s="30">
        <f t="shared" si="6"/>
        <v>62.483855026095426</v>
      </c>
      <c r="Q40" s="30">
        <f t="shared" si="6"/>
        <v>62.590107437793101</v>
      </c>
      <c r="R40" s="30">
        <f t="shared" si="6"/>
        <v>62.699620996593069</v>
      </c>
    </row>
    <row r="41" spans="1:20" x14ac:dyDescent="0.25">
      <c r="A41" s="12" t="s">
        <v>23</v>
      </c>
      <c r="B41" s="52"/>
      <c r="C41" s="54"/>
      <c r="D41" s="7"/>
      <c r="E41" s="7"/>
      <c r="F41" s="7"/>
      <c r="G41" s="7"/>
      <c r="H41" s="7"/>
      <c r="I41" s="7"/>
      <c r="J41" s="7"/>
      <c r="K41" s="7"/>
      <c r="L41" s="7"/>
      <c r="M41" s="7"/>
      <c r="N41" s="30">
        <f t="shared" si="6"/>
        <v>82.800523907581194</v>
      </c>
      <c r="O41" s="30">
        <f t="shared" si="6"/>
        <v>87.453869008663503</v>
      </c>
      <c r="P41" s="30">
        <f t="shared" si="6"/>
        <v>98.856311350471756</v>
      </c>
      <c r="Q41" s="30">
        <f t="shared" si="6"/>
        <v>98.5802594985186</v>
      </c>
      <c r="R41" s="30">
        <f t="shared" si="6"/>
        <v>96.420962372385375</v>
      </c>
    </row>
    <row r="43" spans="1:20" x14ac:dyDescent="0.25">
      <c r="A43" s="115" t="s">
        <v>231</v>
      </c>
      <c r="B43" s="113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>
        <f>M44+M45+M46</f>
        <v>355333</v>
      </c>
      <c r="N43" s="115">
        <f>N44+N45+N46</f>
        <v>432882</v>
      </c>
      <c r="O43" s="115">
        <f>O44+O45+O46</f>
        <v>434539.16697653441</v>
      </c>
      <c r="P43" s="115">
        <f>P44+P45+P46</f>
        <v>446585.29323985381</v>
      </c>
      <c r="Q43" s="115">
        <f>SUM(Q44:Q46)</f>
        <v>458670.27932660095</v>
      </c>
      <c r="R43" s="115">
        <f>SUM(R44:R46)</f>
        <v>448383.31330621336</v>
      </c>
      <c r="T43" s="2"/>
    </row>
    <row r="44" spans="1:20" x14ac:dyDescent="0.25">
      <c r="A44" s="12" t="s">
        <v>21</v>
      </c>
      <c r="B44" s="52"/>
      <c r="C44" s="54"/>
      <c r="D44" s="7"/>
      <c r="E44" s="7"/>
      <c r="F44" s="7"/>
      <c r="G44" s="7"/>
      <c r="H44" s="7"/>
      <c r="I44" s="7"/>
      <c r="J44" s="7"/>
      <c r="K44" s="7"/>
      <c r="L44" s="7"/>
      <c r="M44" s="7">
        <v>50642</v>
      </c>
      <c r="N44" s="7">
        <v>74820</v>
      </c>
      <c r="O44" s="7">
        <v>94380.989181801298</v>
      </c>
      <c r="P44" s="7">
        <v>103461.33652009343</v>
      </c>
      <c r="Q44" s="7">
        <v>105316.62046321825</v>
      </c>
      <c r="R44" s="7">
        <v>98163.353480018035</v>
      </c>
    </row>
    <row r="45" spans="1:20" x14ac:dyDescent="0.25">
      <c r="A45" s="12" t="s">
        <v>22</v>
      </c>
      <c r="B45" s="52"/>
      <c r="C45" s="54"/>
      <c r="D45" s="7"/>
      <c r="E45" s="7"/>
      <c r="F45" s="7"/>
      <c r="G45" s="7"/>
      <c r="H45" s="7"/>
      <c r="I45" s="7"/>
      <c r="J45" s="7"/>
      <c r="K45" s="7"/>
      <c r="L45" s="7"/>
      <c r="M45" s="7">
        <v>174673</v>
      </c>
      <c r="N45" s="7">
        <v>214904</v>
      </c>
      <c r="O45" s="7">
        <v>195510.42530020891</v>
      </c>
      <c r="P45" s="7">
        <v>179684.4237611623</v>
      </c>
      <c r="Q45" s="7">
        <v>174994.26236651919</v>
      </c>
      <c r="R45" s="7">
        <v>177704.2958475512</v>
      </c>
    </row>
    <row r="46" spans="1:20" x14ac:dyDescent="0.25">
      <c r="A46" s="12" t="s">
        <v>23</v>
      </c>
      <c r="B46" s="52"/>
      <c r="C46" s="54"/>
      <c r="D46" s="7"/>
      <c r="E46" s="7"/>
      <c r="F46" s="7"/>
      <c r="G46" s="7"/>
      <c r="H46" s="7"/>
      <c r="I46" s="7"/>
      <c r="J46" s="7"/>
      <c r="K46" s="7"/>
      <c r="L46" s="7"/>
      <c r="M46" s="7">
        <v>130018</v>
      </c>
      <c r="N46" s="7">
        <v>143158</v>
      </c>
      <c r="O46" s="7">
        <v>144647.7524945242</v>
      </c>
      <c r="P46" s="7">
        <v>163439.53295859811</v>
      </c>
      <c r="Q46" s="7">
        <v>178359.39649686351</v>
      </c>
      <c r="R46" s="7">
        <v>172515.66397864409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R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R21"/>
  <sheetViews>
    <sheetView showGridLines="0" zoomScale="75" zoomScaleNormal="75" workbookViewId="0">
      <pane xSplit="3" topLeftCell="H1" activePane="topRight" state="frozen"/>
      <selection pane="topRight" activeCell="M6" sqref="M6:O6"/>
    </sheetView>
  </sheetViews>
  <sheetFormatPr baseColWidth="10" defaultColWidth="9.140625"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5" width="16.28515625" bestFit="1" customWidth="1"/>
    <col min="16" max="17" width="10.42578125" bestFit="1" customWidth="1"/>
  </cols>
  <sheetData>
    <row r="1" spans="1:18" ht="31.5" customHeight="1" x14ac:dyDescent="0.3">
      <c r="A1" s="97" t="s">
        <v>180</v>
      </c>
      <c r="B1" s="69"/>
      <c r="D1" s="39">
        <v>2010</v>
      </c>
      <c r="E1" s="39">
        <v>2011</v>
      </c>
      <c r="F1" s="39">
        <v>2012</v>
      </c>
      <c r="G1" s="39">
        <v>2013</v>
      </c>
      <c r="H1" s="39">
        <v>2014</v>
      </c>
      <c r="I1" s="39">
        <v>2015</v>
      </c>
      <c r="J1" s="39">
        <v>2016</v>
      </c>
      <c r="K1" s="39" t="s">
        <v>39</v>
      </c>
      <c r="L1" s="39" t="s">
        <v>196</v>
      </c>
      <c r="M1" s="39">
        <v>2019</v>
      </c>
      <c r="N1" s="39">
        <v>2020</v>
      </c>
      <c r="O1" s="39" t="s">
        <v>225</v>
      </c>
    </row>
    <row r="2" spans="1:18" ht="10.5" customHeight="1" x14ac:dyDescent="0.3">
      <c r="A2" s="69"/>
      <c r="B2" s="6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x14ac:dyDescent="0.25">
      <c r="A3" s="115" t="s">
        <v>222</v>
      </c>
      <c r="B3" s="115"/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8" x14ac:dyDescent="0.25">
      <c r="A4" s="122" t="s">
        <v>155</v>
      </c>
      <c r="B4" s="142"/>
      <c r="C4" s="143"/>
      <c r="D4" s="144">
        <f t="shared" ref="D4:L4" si="0">SUM(D5:D6)</f>
        <v>4290164</v>
      </c>
      <c r="E4" s="144">
        <f t="shared" si="0"/>
        <v>4271630</v>
      </c>
      <c r="F4" s="144">
        <f t="shared" si="0"/>
        <v>4383417</v>
      </c>
      <c r="G4" s="144">
        <f t="shared" si="0"/>
        <v>4375913</v>
      </c>
      <c r="H4" s="144">
        <f t="shared" si="0"/>
        <v>4402466</v>
      </c>
      <c r="I4" s="144">
        <f t="shared" si="0"/>
        <v>4423283</v>
      </c>
      <c r="J4" s="144">
        <f t="shared" si="0"/>
        <v>4463100</v>
      </c>
      <c r="K4" s="144">
        <f t="shared" si="0"/>
        <v>4466421</v>
      </c>
      <c r="L4" s="144">
        <f t="shared" si="0"/>
        <v>4486786</v>
      </c>
      <c r="M4" s="144">
        <v>4472932</v>
      </c>
      <c r="N4" s="144">
        <f>SUM(N5:N6)</f>
        <v>4465544</v>
      </c>
      <c r="O4" s="144">
        <f>SUM(O5:O6)</f>
        <v>4460131</v>
      </c>
      <c r="P4" s="2"/>
    </row>
    <row r="5" spans="1:18" x14ac:dyDescent="0.25">
      <c r="A5" s="12" t="s">
        <v>221</v>
      </c>
      <c r="B5" s="12"/>
      <c r="C5" s="54"/>
      <c r="D5" s="7">
        <v>1750713</v>
      </c>
      <c r="E5" s="7">
        <v>1356350</v>
      </c>
      <c r="F5" s="7">
        <v>1000232</v>
      </c>
      <c r="G5" s="7">
        <v>813568</v>
      </c>
      <c r="H5" s="7">
        <v>680887</v>
      </c>
      <c r="I5" s="7">
        <v>575577</v>
      </c>
      <c r="J5" s="7">
        <v>457442</v>
      </c>
      <c r="K5" s="7">
        <v>375550</v>
      </c>
      <c r="L5" s="7">
        <v>317285</v>
      </c>
      <c r="M5" s="7">
        <v>261124</v>
      </c>
      <c r="N5" s="7">
        <v>206023</v>
      </c>
      <c r="O5" s="7">
        <v>132614</v>
      </c>
      <c r="Q5" s="58"/>
      <c r="R5" s="58"/>
    </row>
    <row r="6" spans="1:18" x14ac:dyDescent="0.25">
      <c r="A6" s="12" t="s">
        <v>34</v>
      </c>
      <c r="B6" s="12"/>
      <c r="C6" s="54"/>
      <c r="D6" s="7">
        <v>2539451</v>
      </c>
      <c r="E6" s="7">
        <v>2915280</v>
      </c>
      <c r="F6" s="7">
        <v>3383185</v>
      </c>
      <c r="G6" s="7">
        <v>3562345</v>
      </c>
      <c r="H6" s="7">
        <v>3721579</v>
      </c>
      <c r="I6" s="7">
        <v>3847706</v>
      </c>
      <c r="J6" s="7">
        <v>4005658</v>
      </c>
      <c r="K6" s="7">
        <v>4090871</v>
      </c>
      <c r="L6" s="7">
        <v>4169501</v>
      </c>
      <c r="M6" s="7">
        <v>4211808</v>
      </c>
      <c r="N6" s="7">
        <v>4259521</v>
      </c>
      <c r="O6" s="7">
        <v>4327517</v>
      </c>
      <c r="P6" s="2"/>
      <c r="Q6" s="2"/>
    </row>
    <row r="7" spans="1:18" x14ac:dyDescent="0.25">
      <c r="A7" s="122" t="s">
        <v>156</v>
      </c>
      <c r="B7" s="122"/>
      <c r="C7" s="128"/>
      <c r="D7" s="122"/>
      <c r="E7" s="122"/>
      <c r="F7" s="122"/>
      <c r="G7" s="122">
        <v>3455402</v>
      </c>
      <c r="H7" s="122">
        <v>3641479.5</v>
      </c>
      <c r="I7" s="122">
        <v>3800081.5</v>
      </c>
      <c r="J7" s="122">
        <v>3942121</v>
      </c>
      <c r="K7" s="122">
        <v>4048264.5</v>
      </c>
      <c r="L7" s="122">
        <f>(K6+L6)/2</f>
        <v>4130186</v>
      </c>
      <c r="M7" s="122">
        <v>4190654.5</v>
      </c>
      <c r="N7" s="122">
        <v>4228808.5</v>
      </c>
      <c r="O7" s="122">
        <f>(N6+O6)/2</f>
        <v>4293519</v>
      </c>
    </row>
    <row r="8" spans="1:18" x14ac:dyDescent="0.25">
      <c r="A8" s="18"/>
      <c r="B8" s="18"/>
      <c r="C8" s="7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x14ac:dyDescent="0.25">
      <c r="A9" s="115" t="s">
        <v>189</v>
      </c>
      <c r="B9" s="115"/>
      <c r="C9" s="140"/>
      <c r="D9" s="141"/>
      <c r="E9" s="141"/>
      <c r="F9" s="141"/>
      <c r="G9" s="115">
        <f t="shared" ref="G9:L9" si="1">SUM(G10:G12)</f>
        <v>4375913</v>
      </c>
      <c r="H9" s="115">
        <f t="shared" si="1"/>
        <v>4402466</v>
      </c>
      <c r="I9" s="115">
        <f t="shared" si="1"/>
        <v>4423283</v>
      </c>
      <c r="J9" s="115">
        <f t="shared" si="1"/>
        <v>4463100</v>
      </c>
      <c r="K9" s="115">
        <f t="shared" si="1"/>
        <v>4466421</v>
      </c>
      <c r="L9" s="115">
        <f t="shared" si="1"/>
        <v>4486786</v>
      </c>
      <c r="M9" s="115">
        <v>4472932</v>
      </c>
      <c r="N9" s="115">
        <f>SUM(N10:N12)</f>
        <v>4465544</v>
      </c>
      <c r="O9" s="115">
        <f>SUM(O10:O12)</f>
        <v>4460131</v>
      </c>
    </row>
    <row r="10" spans="1:18" x14ac:dyDescent="0.25">
      <c r="A10" s="12" t="s">
        <v>190</v>
      </c>
      <c r="B10" s="12"/>
      <c r="C10" s="54"/>
      <c r="D10" s="7"/>
      <c r="E10" s="7"/>
      <c r="F10" s="7"/>
      <c r="G10" s="7">
        <v>2629507</v>
      </c>
      <c r="H10" s="7">
        <v>2649264</v>
      </c>
      <c r="I10" s="7">
        <v>2672999</v>
      </c>
      <c r="J10" s="7">
        <v>2708767</v>
      </c>
      <c r="K10" s="7">
        <v>2690788</v>
      </c>
      <c r="L10" s="7">
        <v>2749942</v>
      </c>
      <c r="M10" s="7">
        <v>2757184</v>
      </c>
      <c r="N10" s="7">
        <v>2769232</v>
      </c>
      <c r="O10" s="7">
        <v>2789085</v>
      </c>
    </row>
    <row r="11" spans="1:18" x14ac:dyDescent="0.25">
      <c r="A11" s="12" t="s">
        <v>191</v>
      </c>
      <c r="B11" s="12"/>
      <c r="C11" s="54"/>
      <c r="D11" s="7"/>
      <c r="E11" s="7"/>
      <c r="F11" s="7"/>
      <c r="G11" s="7">
        <v>1365022</v>
      </c>
      <c r="H11" s="7">
        <v>1371890</v>
      </c>
      <c r="I11" s="7">
        <v>1372676</v>
      </c>
      <c r="J11" s="7">
        <v>1379380</v>
      </c>
      <c r="K11" s="7">
        <v>1406491</v>
      </c>
      <c r="L11" s="7">
        <v>1381801</v>
      </c>
      <c r="M11" s="7">
        <v>1367048</v>
      </c>
      <c r="N11" s="7">
        <v>1357336</v>
      </c>
      <c r="O11" s="7">
        <v>1339939</v>
      </c>
    </row>
    <row r="12" spans="1:18" x14ac:dyDescent="0.25">
      <c r="A12" s="12" t="s">
        <v>192</v>
      </c>
      <c r="B12" s="12"/>
      <c r="C12" s="54"/>
      <c r="D12" s="7"/>
      <c r="E12" s="7"/>
      <c r="F12" s="7"/>
      <c r="G12" s="7">
        <v>381384</v>
      </c>
      <c r="H12" s="7">
        <v>381312</v>
      </c>
      <c r="I12" s="7">
        <v>377608</v>
      </c>
      <c r="J12" s="7">
        <v>374953</v>
      </c>
      <c r="K12" s="7">
        <v>369142</v>
      </c>
      <c r="L12" s="7">
        <v>355043</v>
      </c>
      <c r="M12" s="7">
        <v>348700</v>
      </c>
      <c r="N12" s="7">
        <v>338976</v>
      </c>
      <c r="O12" s="7">
        <v>331107</v>
      </c>
    </row>
    <row r="13" spans="1:18" x14ac:dyDescent="0.25">
      <c r="A13" s="12"/>
      <c r="B13" s="12"/>
      <c r="C13" s="5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8" x14ac:dyDescent="0.25">
      <c r="A14" s="115" t="s">
        <v>35</v>
      </c>
      <c r="B14" s="115"/>
      <c r="C14" s="114" t="s">
        <v>181</v>
      </c>
      <c r="D14" s="115"/>
      <c r="E14" s="115"/>
      <c r="F14" s="115"/>
      <c r="G14" s="115"/>
      <c r="H14" s="115">
        <f>SUM(H15:H17)</f>
        <v>1050521477.3699999</v>
      </c>
      <c r="I14" s="115">
        <f>SUM(I15:I17)</f>
        <v>1097085467.6833601</v>
      </c>
      <c r="J14" s="115">
        <f>SUM(J15:J17)</f>
        <v>1152571687.0420926</v>
      </c>
      <c r="K14" s="115">
        <f>SUM(K15:K17)</f>
        <v>1199581355.1500032</v>
      </c>
      <c r="L14" s="115">
        <f>SUM(L15:L17)</f>
        <v>1211416002.0900033</v>
      </c>
      <c r="M14" s="115">
        <v>1229730816.6300023</v>
      </c>
      <c r="N14" s="115">
        <f>SUM(N15:N17)</f>
        <v>1183000500.6400003</v>
      </c>
      <c r="O14" s="115">
        <f>SUM(O15:O17)</f>
        <v>1180073013.6000001</v>
      </c>
    </row>
    <row r="15" spans="1:18" x14ac:dyDescent="0.25">
      <c r="A15" s="12" t="s">
        <v>36</v>
      </c>
      <c r="B15" s="12"/>
      <c r="C15" s="54"/>
      <c r="D15" s="7"/>
      <c r="E15" s="7"/>
      <c r="F15" s="7"/>
      <c r="G15" s="7"/>
      <c r="H15" s="7">
        <v>716725586.9799999</v>
      </c>
      <c r="I15" s="7">
        <v>761958774.38298202</v>
      </c>
      <c r="J15" s="7">
        <v>825701409.26577675</v>
      </c>
      <c r="K15" s="7">
        <v>852027696.29967403</v>
      </c>
      <c r="L15" s="7">
        <v>870887392.63505912</v>
      </c>
      <c r="M15" s="7">
        <v>896917737.39412808</v>
      </c>
      <c r="N15" s="7">
        <v>880610039.16291213</v>
      </c>
      <c r="O15" s="7">
        <v>895856158.39685202</v>
      </c>
    </row>
    <row r="16" spans="1:18" x14ac:dyDescent="0.25">
      <c r="A16" s="12" t="s">
        <v>37</v>
      </c>
      <c r="B16" s="12"/>
      <c r="C16" s="54"/>
      <c r="D16" s="7"/>
      <c r="E16" s="7"/>
      <c r="F16" s="7"/>
      <c r="G16" s="7"/>
      <c r="H16" s="7">
        <v>220232560.61000001</v>
      </c>
      <c r="I16" s="7">
        <v>235586432.92037803</v>
      </c>
      <c r="J16" s="7">
        <v>243272131.36631578</v>
      </c>
      <c r="K16" s="7">
        <v>266113605.87032911</v>
      </c>
      <c r="L16" s="7">
        <v>263736751.43494421</v>
      </c>
      <c r="M16" s="7">
        <v>262809474.47587407</v>
      </c>
      <c r="N16" s="7">
        <v>244899842.44708818</v>
      </c>
      <c r="O16" s="7">
        <v>232746649.45314819</v>
      </c>
    </row>
    <row r="17" spans="1:15" x14ac:dyDescent="0.25">
      <c r="A17" s="12" t="s">
        <v>38</v>
      </c>
      <c r="B17" s="12"/>
      <c r="C17" s="54"/>
      <c r="D17" s="7"/>
      <c r="E17" s="7"/>
      <c r="F17" s="7"/>
      <c r="G17" s="7"/>
      <c r="H17" s="7">
        <v>113563329.78</v>
      </c>
      <c r="I17" s="7">
        <v>99540260.379999995</v>
      </c>
      <c r="J17" s="7">
        <v>83598146.409999996</v>
      </c>
      <c r="K17" s="7">
        <v>81440052.980000004</v>
      </c>
      <c r="L17" s="7">
        <v>76791858.020000011</v>
      </c>
      <c r="M17" s="7">
        <v>70003604.75999999</v>
      </c>
      <c r="N17" s="7">
        <v>57490619.030000001</v>
      </c>
      <c r="O17" s="7">
        <v>51470205.75</v>
      </c>
    </row>
    <row r="18" spans="1:15" x14ac:dyDescent="0.25">
      <c r="C18" s="91"/>
    </row>
    <row r="19" spans="1:15" x14ac:dyDescent="0.25">
      <c r="A19" s="115" t="s">
        <v>153</v>
      </c>
      <c r="B19" s="115"/>
      <c r="C19" s="114" t="s">
        <v>55</v>
      </c>
      <c r="D19" s="115"/>
      <c r="E19" s="115"/>
      <c r="F19" s="115"/>
      <c r="G19" s="115"/>
      <c r="H19" s="145">
        <f t="shared" ref="H19:M19" si="2">H20+H21</f>
        <v>21.441791895986231</v>
      </c>
      <c r="I19" s="145">
        <f t="shared" si="2"/>
        <v>21.875522215847212</v>
      </c>
      <c r="J19" s="145">
        <f t="shared" si="2"/>
        <v>22.597258781759287</v>
      </c>
      <c r="K19" s="145">
        <f t="shared" si="2"/>
        <v>23.016885840216286</v>
      </c>
      <c r="L19" s="145">
        <f t="shared" si="2"/>
        <v>22.892918625416289</v>
      </c>
      <c r="M19" s="145">
        <f t="shared" si="2"/>
        <v>23.061775749468293</v>
      </c>
      <c r="N19" s="145">
        <v>22.179412979842123</v>
      </c>
      <c r="O19" s="145">
        <v>21.986857476307794</v>
      </c>
    </row>
    <row r="20" spans="1:15" x14ac:dyDescent="0.25">
      <c r="A20" s="48" t="s">
        <v>154</v>
      </c>
      <c r="B20" s="48"/>
      <c r="C20" s="92"/>
      <c r="D20" s="7"/>
      <c r="E20" s="7"/>
      <c r="F20" s="7"/>
      <c r="G20" s="7"/>
      <c r="H20" s="93">
        <f t="shared" ref="H20:M20" si="3">H15/H7/12</f>
        <v>16.401886169710231</v>
      </c>
      <c r="I20" s="93">
        <f t="shared" si="3"/>
        <v>16.709263875502451</v>
      </c>
      <c r="J20" s="93">
        <f t="shared" si="3"/>
        <v>17.454677512980464</v>
      </c>
      <c r="K20" s="93">
        <f t="shared" si="3"/>
        <v>17.538949845044176</v>
      </c>
      <c r="L20" s="93">
        <f t="shared" si="3"/>
        <v>17.571593479386866</v>
      </c>
      <c r="M20" s="93">
        <f t="shared" si="3"/>
        <v>17.835673349555304</v>
      </c>
      <c r="N20" s="93">
        <v>17.353391606700253</v>
      </c>
      <c r="O20" s="93">
        <v>17.452607362786299</v>
      </c>
    </row>
    <row r="21" spans="1:15" x14ac:dyDescent="0.25">
      <c r="A21" s="12" t="s">
        <v>37</v>
      </c>
      <c r="B21" s="12"/>
      <c r="C21" s="54"/>
      <c r="D21" s="7"/>
      <c r="E21" s="7"/>
      <c r="F21" s="7"/>
      <c r="G21" s="7"/>
      <c r="H21" s="93">
        <f t="shared" ref="H21:M21" si="4">H16/H7/12</f>
        <v>5.0399057262760012</v>
      </c>
      <c r="I21" s="93">
        <f t="shared" si="4"/>
        <v>5.1662583403447622</v>
      </c>
      <c r="J21" s="93">
        <f t="shared" si="4"/>
        <v>5.1425812687788239</v>
      </c>
      <c r="K21" s="93">
        <f t="shared" si="4"/>
        <v>5.4779359951721105</v>
      </c>
      <c r="L21" s="93">
        <f t="shared" si="4"/>
        <v>5.321325146029424</v>
      </c>
      <c r="M21" s="93">
        <f t="shared" si="4"/>
        <v>5.2261023999129899</v>
      </c>
      <c r="N21" s="93">
        <v>4.8260213731418711</v>
      </c>
      <c r="O21" s="93">
        <v>4.5342501135214937</v>
      </c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 N4" formulaRange="1"/>
    <ignoredError sqref="K1:L1 O1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J23"/>
  <sheetViews>
    <sheetView showGridLines="0" zoomScale="75" zoomScaleNormal="75" workbookViewId="0">
      <selection activeCell="J13" sqref="J13"/>
    </sheetView>
  </sheetViews>
  <sheetFormatPr baseColWidth="10" defaultColWidth="9.140625" defaultRowHeight="15" x14ac:dyDescent="0.25"/>
  <cols>
    <col min="1" max="1" width="23.5703125" customWidth="1"/>
    <col min="2" max="2" width="47.140625" customWidth="1"/>
    <col min="3" max="3" width="12.7109375" bestFit="1" customWidth="1"/>
    <col min="4" max="4" width="15.85546875" customWidth="1"/>
    <col min="5" max="10" width="12.7109375" bestFit="1" customWidth="1"/>
  </cols>
  <sheetData>
    <row r="1" spans="1:10" ht="30.75" customHeight="1" x14ac:dyDescent="0.3">
      <c r="A1" s="97" t="s">
        <v>180</v>
      </c>
      <c r="B1" s="69"/>
      <c r="C1" s="39">
        <v>2014</v>
      </c>
      <c r="D1" s="39">
        <v>2015</v>
      </c>
      <c r="E1" s="39">
        <v>2016</v>
      </c>
      <c r="F1" s="39" t="s">
        <v>39</v>
      </c>
      <c r="G1" s="39" t="s">
        <v>196</v>
      </c>
      <c r="H1" s="39" t="s">
        <v>212</v>
      </c>
      <c r="I1" s="39" t="s">
        <v>218</v>
      </c>
      <c r="J1" s="39" t="s">
        <v>225</v>
      </c>
    </row>
    <row r="2" spans="1:10" ht="30.75" customHeight="1" x14ac:dyDescent="0.3">
      <c r="A2" s="69"/>
      <c r="B2" s="69"/>
      <c r="C2" s="39"/>
      <c r="D2" s="39"/>
      <c r="E2" s="39"/>
      <c r="F2" s="39"/>
      <c r="G2" s="39"/>
      <c r="H2" s="39"/>
      <c r="I2" s="39"/>
      <c r="J2" s="39"/>
    </row>
    <row r="3" spans="1:10" ht="18" customHeight="1" x14ac:dyDescent="0.25">
      <c r="A3" s="115" t="s">
        <v>204</v>
      </c>
      <c r="B3" s="115"/>
      <c r="C3" s="146"/>
      <c r="D3" s="146"/>
      <c r="E3" s="146"/>
      <c r="F3" s="146"/>
      <c r="G3" s="146"/>
      <c r="H3" s="146"/>
      <c r="I3" s="146"/>
      <c r="J3" s="146"/>
    </row>
    <row r="4" spans="1:10" ht="18" customHeight="1" x14ac:dyDescent="0.25">
      <c r="A4" s="109" t="s">
        <v>205</v>
      </c>
      <c r="B4" s="109"/>
      <c r="C4" s="147">
        <v>289209</v>
      </c>
      <c r="D4" s="147">
        <v>309193</v>
      </c>
      <c r="E4" s="147">
        <v>299891</v>
      </c>
      <c r="F4" s="147">
        <v>322364</v>
      </c>
      <c r="G4" s="147">
        <v>319112</v>
      </c>
      <c r="H4" s="147">
        <v>367523</v>
      </c>
      <c r="I4" s="147">
        <v>189072</v>
      </c>
      <c r="J4" s="147">
        <v>370119</v>
      </c>
    </row>
    <row r="5" spans="1:10" ht="18" customHeight="1" x14ac:dyDescent="0.25">
      <c r="A5" s="109" t="s">
        <v>214</v>
      </c>
      <c r="B5" s="109"/>
      <c r="C5" s="147"/>
      <c r="D5" s="111">
        <v>0.11610784557235121</v>
      </c>
      <c r="E5" s="111">
        <v>0.12064553599227468</v>
      </c>
      <c r="F5" s="111">
        <v>0.10534953605833708</v>
      </c>
      <c r="G5" s="111">
        <v>0.10159263105081591</v>
      </c>
      <c r="H5" s="111">
        <v>0.11472735601906861</v>
      </c>
      <c r="I5" s="111">
        <v>0.11206744022259194</v>
      </c>
      <c r="J5" s="111">
        <v>0.11879117748143402</v>
      </c>
    </row>
    <row r="6" spans="1:10" ht="18" customHeight="1" x14ac:dyDescent="0.25">
      <c r="A6" s="109" t="s">
        <v>215</v>
      </c>
      <c r="B6" s="109"/>
      <c r="C6" s="111">
        <v>0.11837858556053735</v>
      </c>
      <c r="D6" s="111">
        <v>0.12206650099883858</v>
      </c>
      <c r="E6" s="111">
        <v>0.12472743209120615</v>
      </c>
      <c r="F6" s="111">
        <v>0.1092360782797044</v>
      </c>
      <c r="G6" s="111">
        <v>0.10450954860102492</v>
      </c>
      <c r="H6" s="111">
        <v>0.12078618737860421</v>
      </c>
      <c r="I6" s="111">
        <v>0.14242612728565388</v>
      </c>
      <c r="J6" s="111">
        <v>0.14905614804924594</v>
      </c>
    </row>
    <row r="7" spans="1:10" ht="15" customHeight="1" x14ac:dyDescent="0.25">
      <c r="B7" s="14"/>
      <c r="C7" s="18"/>
      <c r="D7" s="57"/>
      <c r="E7" s="57"/>
      <c r="F7" s="57"/>
      <c r="G7" s="57"/>
      <c r="H7" s="57"/>
      <c r="I7" s="57"/>
      <c r="J7" s="57"/>
    </row>
    <row r="8" spans="1:10" x14ac:dyDescent="0.25">
      <c r="A8" s="115" t="s">
        <v>182</v>
      </c>
      <c r="B8" s="115"/>
      <c r="C8" s="146"/>
      <c r="D8" s="146"/>
      <c r="E8" s="146"/>
      <c r="F8" s="146"/>
      <c r="G8" s="146"/>
      <c r="H8" s="146"/>
      <c r="I8" s="146"/>
      <c r="J8" s="146"/>
    </row>
    <row r="9" spans="1:10" x14ac:dyDescent="0.25">
      <c r="A9" s="109" t="s">
        <v>193</v>
      </c>
      <c r="B9" s="148"/>
      <c r="C9" s="149">
        <v>0.20593118800410082</v>
      </c>
      <c r="D9" s="149">
        <v>0.18546607973952248</v>
      </c>
      <c r="E9" s="149">
        <v>0.20204814714471658</v>
      </c>
      <c r="F9" s="149">
        <v>0.23100000000000001</v>
      </c>
      <c r="G9" s="149">
        <v>0.23599999999999999</v>
      </c>
      <c r="H9" s="149">
        <v>0.21817624175537659</v>
      </c>
      <c r="I9" s="149">
        <v>0.18408872745765498</v>
      </c>
      <c r="J9" s="149">
        <v>0.18340521243113569</v>
      </c>
    </row>
    <row r="10" spans="1:10" x14ac:dyDescent="0.25">
      <c r="A10" s="109" t="s">
        <v>194</v>
      </c>
      <c r="B10" s="109"/>
      <c r="C10" s="111">
        <v>0.15018121708382354</v>
      </c>
      <c r="D10" s="111">
        <v>0.10511143298379787</v>
      </c>
      <c r="E10" s="111">
        <v>0.1024048439901165</v>
      </c>
      <c r="F10" s="111">
        <v>0.12670412435460862</v>
      </c>
      <c r="G10" s="111">
        <v>0.126</v>
      </c>
      <c r="H10" s="111">
        <v>0.15194142051700293</v>
      </c>
      <c r="I10" s="111">
        <v>0.12437474708357446</v>
      </c>
      <c r="J10" s="111">
        <v>0.13393503354543665</v>
      </c>
    </row>
    <row r="11" spans="1:10" x14ac:dyDescent="0.25">
      <c r="A11" s="109" t="s">
        <v>195</v>
      </c>
      <c r="B11" s="109"/>
      <c r="C11" s="111">
        <v>0.19323113102072764</v>
      </c>
      <c r="D11" s="111">
        <v>0.16700744159425754</v>
      </c>
      <c r="E11" s="111">
        <v>0.17729935799224544</v>
      </c>
      <c r="F11" s="111">
        <v>0.20399999999999999</v>
      </c>
      <c r="G11" s="111">
        <v>0.20599999999999999</v>
      </c>
      <c r="H11" s="111">
        <v>0.20100000000000001</v>
      </c>
      <c r="I11" s="111">
        <v>0.16823569628402021</v>
      </c>
      <c r="J11" s="111">
        <v>0.16975067638799429</v>
      </c>
    </row>
    <row r="12" spans="1:10" x14ac:dyDescent="0.25">
      <c r="A12" s="109" t="s">
        <v>162</v>
      </c>
      <c r="B12" s="109"/>
      <c r="C12" s="147">
        <v>1117891</v>
      </c>
      <c r="D12" s="147">
        <v>1009291</v>
      </c>
      <c r="E12" s="147">
        <v>1083392</v>
      </c>
      <c r="F12" s="147">
        <v>1179045</v>
      </c>
      <c r="G12" s="147">
        <v>1386484</v>
      </c>
      <c r="H12" s="147">
        <v>1216301</v>
      </c>
      <c r="I12" s="147">
        <v>1169002</v>
      </c>
      <c r="J12" s="147">
        <v>1041151</v>
      </c>
    </row>
    <row r="13" spans="1:10" x14ac:dyDescent="0.25"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15" t="s">
        <v>163</v>
      </c>
      <c r="B14" s="115"/>
      <c r="C14" s="146"/>
      <c r="D14" s="146"/>
      <c r="E14" s="146"/>
      <c r="F14" s="146"/>
      <c r="G14" s="146"/>
      <c r="H14" s="146"/>
      <c r="I14" s="146"/>
      <c r="J14" s="146"/>
    </row>
    <row r="15" spans="1:10" x14ac:dyDescent="0.25">
      <c r="A15" s="109" t="s">
        <v>164</v>
      </c>
      <c r="B15" s="109"/>
      <c r="C15" s="111"/>
      <c r="D15" s="111"/>
      <c r="E15" s="111"/>
      <c r="F15" s="111">
        <v>0.16824205592671629</v>
      </c>
      <c r="G15" s="111">
        <v>0.14910786009180735</v>
      </c>
      <c r="H15" s="111">
        <v>0.16034221979419211</v>
      </c>
      <c r="I15" s="111">
        <v>0.15298496088062993</v>
      </c>
      <c r="J15" s="111">
        <v>0.16123097327112876</v>
      </c>
    </row>
    <row r="16" spans="1:10" x14ac:dyDescent="0.25">
      <c r="A16" s="109" t="s">
        <v>165</v>
      </c>
      <c r="B16" s="108"/>
      <c r="C16" s="150"/>
      <c r="D16" s="150"/>
      <c r="E16" s="150"/>
      <c r="F16" s="150">
        <v>0.16400750026237695</v>
      </c>
      <c r="G16" s="150">
        <v>0.1784718955521124</v>
      </c>
      <c r="H16" s="150">
        <v>0.17448468674974646</v>
      </c>
      <c r="I16" s="150">
        <v>0.1733625680935787</v>
      </c>
      <c r="J16" s="150">
        <v>0.20842151818498786</v>
      </c>
    </row>
    <row r="17" spans="1:10" x14ac:dyDescent="0.25">
      <c r="A17" s="109" t="s">
        <v>166</v>
      </c>
      <c r="B17" s="108"/>
      <c r="C17" s="150"/>
      <c r="D17" s="150"/>
      <c r="E17" s="150"/>
      <c r="F17" s="150">
        <v>9.904437962997395E-2</v>
      </c>
      <c r="G17" s="150">
        <v>9.4699685366499781E-2</v>
      </c>
      <c r="H17" s="150">
        <v>9.417360852804034E-2</v>
      </c>
      <c r="I17" s="150">
        <v>0.1002169902912574</v>
      </c>
      <c r="J17" s="150">
        <v>9.6718812651721678E-2</v>
      </c>
    </row>
    <row r="18" spans="1:10" x14ac:dyDescent="0.25">
      <c r="A18" s="109" t="s">
        <v>167</v>
      </c>
      <c r="B18" s="108"/>
      <c r="C18" s="150"/>
      <c r="D18" s="150"/>
      <c r="E18" s="150"/>
      <c r="F18" s="150">
        <v>5.6594222220014055E-2</v>
      </c>
      <c r="G18" s="150">
        <v>2.5866017343500164E-2</v>
      </c>
      <c r="H18" s="150">
        <v>2.7068658935876101E-2</v>
      </c>
      <c r="I18" s="150">
        <v>3.0066455840957695E-2</v>
      </c>
      <c r="J18" s="150">
        <v>3.3385891192513048E-2</v>
      </c>
    </row>
    <row r="20" spans="1:10" x14ac:dyDescent="0.25">
      <c r="A20" s="115" t="s">
        <v>168</v>
      </c>
      <c r="B20" s="115"/>
      <c r="C20" s="146"/>
      <c r="D20" s="146"/>
      <c r="E20" s="146"/>
      <c r="F20" s="146"/>
      <c r="G20" s="146"/>
      <c r="H20" s="146"/>
      <c r="I20" s="146"/>
      <c r="J20" s="146"/>
    </row>
    <row r="21" spans="1:10" x14ac:dyDescent="0.25">
      <c r="A21" s="109" t="s">
        <v>219</v>
      </c>
      <c r="B21" s="109"/>
      <c r="C21" s="111"/>
      <c r="D21" s="111"/>
      <c r="E21" s="111"/>
      <c r="F21" s="151">
        <v>445932</v>
      </c>
      <c r="G21" s="151">
        <v>510454</v>
      </c>
      <c r="H21" s="151">
        <v>483780</v>
      </c>
      <c r="I21" s="151">
        <v>455947</v>
      </c>
      <c r="J21" s="151">
        <v>417316</v>
      </c>
    </row>
    <row r="22" spans="1:10" x14ac:dyDescent="0.25">
      <c r="A22" s="109" t="s">
        <v>220</v>
      </c>
      <c r="B22" s="109"/>
      <c r="C22" s="111"/>
      <c r="D22" s="111"/>
      <c r="E22" s="111"/>
      <c r="F22" s="147">
        <v>37600</v>
      </c>
      <c r="G22" s="147">
        <v>100421.9</v>
      </c>
      <c r="H22" s="147">
        <v>95144</v>
      </c>
      <c r="I22" s="147">
        <v>106754</v>
      </c>
      <c r="J22" s="147">
        <v>99125</v>
      </c>
    </row>
    <row r="23" spans="1:10" x14ac:dyDescent="0.25">
      <c r="A23" s="109" t="s">
        <v>206</v>
      </c>
      <c r="B23" s="109"/>
      <c r="C23" s="111"/>
      <c r="D23" s="111"/>
      <c r="E23" s="111"/>
      <c r="F23" s="152">
        <f>F22/(F21/2)</f>
        <v>0.16863557672470242</v>
      </c>
      <c r="G23" s="153">
        <f>G22/G21</f>
        <v>0.19673055750371238</v>
      </c>
      <c r="H23" s="153">
        <f>H22/H21</f>
        <v>0.19666790689983049</v>
      </c>
      <c r="I23" s="153">
        <f>I22/I21</f>
        <v>0.23413686239848053</v>
      </c>
      <c r="J23" s="153">
        <f>J22/J21</f>
        <v>0.23752983350746198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J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DS12-573-727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DS12-573-727</_dlc_DocId>
    <_dlc_DocIdUrl xmlns="2b4b6fc7-bde4-44a8-8bca-a78eb25a27e9">
      <Url>http://teamworkingspace.bipt.local/sites/dossiers2012/7/2012000261/_layouts/DocIdRedir.aspx?ID=DS12-573-727</Url>
      <Description>DS12-573-727</Description>
    </_dlc_DocIdUrl>
  </documentManagement>
</p:properties>
</file>

<file path=customXml/itemProps1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8C075D-97EE-4149-9F22-B1C899EC4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Vincent Deschoenmaeker</cp:lastModifiedBy>
  <cp:lastPrinted>2019-04-15T12:33:53Z</cp:lastPrinted>
  <dcterms:created xsi:type="dcterms:W3CDTF">2016-06-21T06:43:25Z</dcterms:created>
  <dcterms:modified xsi:type="dcterms:W3CDTF">2022-06-07T09:30:04Z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f8fce116-467e-4373-a8de-dfca6ac38a8b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