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Teamworkingspace.bipt.local/sites/dossiers2012/7/2012000261/Publicaties_statistisch jaarverslag BIPT/jaarverslag 2019/"/>
    </mc:Choice>
  </mc:AlternateContent>
  <xr:revisionPtr revIDLastSave="0" documentId="13_ncr:1_{BC83FE3F-84FC-4D47-B755-5EC2C97916C3}" xr6:coauthVersionLast="45" xr6:coauthVersionMax="45" xr10:uidLastSave="{00000000-0000-0000-0000-000000000000}"/>
  <bookViews>
    <workbookView xWindow="-120" yWindow="-120" windowWidth="20730" windowHeight="11310" activeTab="2" xr2:uid="{00000000-000D-0000-FFFF-FFFF00000000}"/>
  </bookViews>
  <sheets>
    <sheet name="Inhoudstafel" sheetId="7" r:id="rId1"/>
    <sheet name="marktcontext" sheetId="1" r:id="rId2"/>
    <sheet name="vast" sheetId="9" r:id="rId3"/>
    <sheet name="mobiel" sheetId="8" r:id="rId4"/>
    <sheet name="multiplay" sheetId="4" r:id="rId5"/>
    <sheet name="TV" sheetId="5" r:id="rId6"/>
    <sheet name="Klantverloop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5" l="1"/>
  <c r="E4" i="5"/>
  <c r="F4" i="5"/>
  <c r="G4" i="5"/>
  <c r="H4" i="5"/>
  <c r="I4" i="5"/>
  <c r="J4" i="5"/>
  <c r="K4" i="5"/>
  <c r="L4" i="5"/>
  <c r="H23" i="10" l="1"/>
  <c r="M21" i="5" l="1"/>
  <c r="M22" i="5"/>
  <c r="M20" i="5" l="1"/>
  <c r="P43" i="4"/>
  <c r="P39" i="4"/>
  <c r="P40" i="4"/>
  <c r="P41" i="4"/>
  <c r="P33" i="4"/>
  <c r="P29" i="4"/>
  <c r="P26" i="4"/>
  <c r="P23" i="4"/>
  <c r="P16" i="4"/>
  <c r="P8" i="4"/>
  <c r="P3" i="4"/>
  <c r="K143" i="8"/>
  <c r="K144" i="8"/>
  <c r="K146" i="8"/>
  <c r="K147" i="8"/>
  <c r="K149" i="8"/>
  <c r="K150" i="8"/>
  <c r="K123" i="8"/>
  <c r="K129" i="8"/>
  <c r="K142" i="8" s="1"/>
  <c r="K102" i="8"/>
  <c r="K89" i="8"/>
  <c r="K61" i="8"/>
  <c r="K25" i="8"/>
  <c r="K26" i="8"/>
  <c r="K65" i="8"/>
  <c r="K47" i="8"/>
  <c r="K52" i="8"/>
  <c r="K43" i="8"/>
  <c r="K96" i="8" s="1"/>
  <c r="K44" i="8"/>
  <c r="K97" i="8" s="1"/>
  <c r="K42" i="8"/>
  <c r="K95" i="8" l="1"/>
  <c r="K120" i="8"/>
  <c r="K119" i="8"/>
  <c r="K112" i="8"/>
  <c r="K118" i="8" s="1"/>
  <c r="K18" i="8"/>
  <c r="K3" i="8"/>
  <c r="K49" i="9" l="1"/>
  <c r="K37" i="9"/>
  <c r="K41" i="9"/>
  <c r="K32" i="9" l="1"/>
  <c r="K28" i="9"/>
  <c r="K27" i="9" s="1"/>
  <c r="J9" i="9" l="1"/>
  <c r="K9" i="9"/>
  <c r="J4" i="9"/>
  <c r="J3" i="9" s="1"/>
  <c r="K4" i="9"/>
  <c r="K3" i="9" s="1"/>
  <c r="K36" i="1" l="1"/>
  <c r="K9" i="1" l="1"/>
  <c r="K22" i="1" l="1"/>
  <c r="K13" i="1" l="1"/>
  <c r="K18" i="1" l="1"/>
  <c r="K5" i="1"/>
  <c r="K4" i="1" s="1"/>
  <c r="K17" i="1" l="1"/>
  <c r="K3" i="1"/>
  <c r="K42" i="1" s="1"/>
  <c r="K41" i="1"/>
  <c r="F23" i="10" l="1"/>
  <c r="J67" i="8" l="1"/>
  <c r="J72" i="8" l="1"/>
  <c r="G23" i="10" l="1"/>
  <c r="L8" i="5" l="1"/>
  <c r="L22" i="5" s="1"/>
  <c r="L15" i="5"/>
  <c r="L10" i="5"/>
  <c r="L21" i="5" l="1"/>
  <c r="L20" i="5" s="1"/>
  <c r="J22" i="9" l="1"/>
  <c r="J18" i="9"/>
  <c r="O39" i="4"/>
  <c r="O40" i="4"/>
  <c r="O41" i="4"/>
  <c r="O33" i="4"/>
  <c r="O43" i="4"/>
  <c r="J17" i="9" l="1"/>
  <c r="O29" i="4"/>
  <c r="O26" i="4"/>
  <c r="O23" i="4"/>
  <c r="O16" i="4"/>
  <c r="O8" i="4"/>
  <c r="O3" i="4"/>
  <c r="J32" i="9" l="1"/>
  <c r="J28" i="9"/>
  <c r="J29" i="8"/>
  <c r="J27" i="9" l="1"/>
  <c r="J149" i="8"/>
  <c r="J150" i="8"/>
  <c r="J143" i="8"/>
  <c r="I143" i="8"/>
  <c r="J52" i="8" l="1"/>
  <c r="J47" i="8"/>
  <c r="J41" i="9" l="1"/>
  <c r="J49" i="9"/>
  <c r="J37" i="9"/>
  <c r="J36" i="1" l="1"/>
  <c r="J9" i="1" l="1"/>
  <c r="J5" i="1" l="1"/>
  <c r="J4" i="1" s="1"/>
  <c r="J13" i="1"/>
  <c r="J22" i="1"/>
  <c r="J18" i="1"/>
  <c r="J17" i="1" l="1"/>
  <c r="J41" i="1"/>
  <c r="J3" i="1"/>
  <c r="J42" i="1" s="1"/>
  <c r="J23" i="8"/>
  <c r="J25" i="8" s="1"/>
  <c r="J24" i="8"/>
  <c r="J26" i="8" s="1"/>
  <c r="J19" i="8"/>
  <c r="J22" i="8" s="1"/>
  <c r="J18" i="8" l="1"/>
  <c r="J3" i="8"/>
  <c r="J144" i="8" l="1"/>
  <c r="I63" i="8"/>
  <c r="I62" i="8"/>
  <c r="J61" i="8"/>
  <c r="I61" i="8" l="1"/>
  <c r="J65" i="8"/>
  <c r="J146" i="8" l="1"/>
  <c r="J147" i="8"/>
  <c r="J129" i="8" l="1"/>
  <c r="J142" i="8" s="1"/>
  <c r="J123" i="8"/>
  <c r="J80" i="8"/>
  <c r="J82" i="8"/>
  <c r="J89" i="8" s="1"/>
  <c r="J102" i="8"/>
  <c r="J112" i="8" s="1"/>
  <c r="J42" i="8"/>
  <c r="J43" i="8"/>
  <c r="J96" i="8" s="1"/>
  <c r="J44" i="8"/>
  <c r="J97" i="8" s="1"/>
  <c r="J120" i="8" l="1"/>
  <c r="J119" i="8"/>
  <c r="J118" i="8"/>
  <c r="J95" i="8"/>
  <c r="J34" i="8"/>
  <c r="J28" i="8" l="1"/>
  <c r="K41" i="8" s="1"/>
  <c r="K10" i="5"/>
  <c r="J10" i="5"/>
  <c r="I10" i="5"/>
  <c r="H10" i="5"/>
  <c r="G10" i="5"/>
  <c r="K94" i="8" l="1"/>
  <c r="K117" i="8"/>
  <c r="K22" i="5"/>
  <c r="J22" i="5"/>
  <c r="I22" i="5"/>
  <c r="H22" i="5"/>
  <c r="K21" i="5"/>
  <c r="J21" i="5"/>
  <c r="I21" i="5"/>
  <c r="H21" i="5"/>
  <c r="H20" i="5" s="1"/>
  <c r="K20" i="5"/>
  <c r="J20" i="5"/>
  <c r="K15" i="5"/>
  <c r="J15" i="5"/>
  <c r="I15" i="5"/>
  <c r="H15" i="5"/>
  <c r="N43" i="4"/>
  <c r="M43" i="4"/>
  <c r="N41" i="4"/>
  <c r="N40" i="4"/>
  <c r="N39" i="4"/>
  <c r="N33" i="4"/>
  <c r="N29" i="4"/>
  <c r="M29" i="4"/>
  <c r="L29" i="4"/>
  <c r="K29" i="4"/>
  <c r="J29" i="4"/>
  <c r="I29" i="4"/>
  <c r="H29" i="4"/>
  <c r="G29" i="4"/>
  <c r="N26" i="4"/>
  <c r="M26" i="4"/>
  <c r="L26" i="4"/>
  <c r="K26" i="4"/>
  <c r="J26" i="4"/>
  <c r="I26" i="4"/>
  <c r="H26" i="4"/>
  <c r="G26" i="4"/>
  <c r="N23" i="4"/>
  <c r="M23" i="4"/>
  <c r="L23" i="4"/>
  <c r="K23" i="4"/>
  <c r="J23" i="4"/>
  <c r="I23" i="4"/>
  <c r="H23" i="4"/>
  <c r="G23" i="4"/>
  <c r="N16" i="4"/>
  <c r="M16" i="4"/>
  <c r="L16" i="4"/>
  <c r="K16" i="4"/>
  <c r="J16" i="4"/>
  <c r="I16" i="4"/>
  <c r="H16" i="4"/>
  <c r="G16" i="4"/>
  <c r="F16" i="4"/>
  <c r="E16" i="4"/>
  <c r="D16" i="4"/>
  <c r="N8" i="4"/>
  <c r="M8" i="4"/>
  <c r="L8" i="4"/>
  <c r="K8" i="4"/>
  <c r="J8" i="4"/>
  <c r="I8" i="4"/>
  <c r="H8" i="4"/>
  <c r="G8" i="4"/>
  <c r="F8" i="4"/>
  <c r="E8" i="4"/>
  <c r="D8" i="4"/>
  <c r="N3" i="4"/>
  <c r="M3" i="4"/>
  <c r="L3" i="4"/>
  <c r="K3" i="4"/>
  <c r="J3" i="4"/>
  <c r="I3" i="4"/>
  <c r="H3" i="4"/>
  <c r="G3" i="4"/>
  <c r="F3" i="4"/>
  <c r="E3" i="4"/>
  <c r="D3" i="4"/>
  <c r="I150" i="8"/>
  <c r="H150" i="8"/>
  <c r="I149" i="8"/>
  <c r="I147" i="8"/>
  <c r="H147" i="8"/>
  <c r="H146" i="8"/>
  <c r="I144" i="8"/>
  <c r="H144" i="8"/>
  <c r="G144" i="8"/>
  <c r="F144" i="8"/>
  <c r="E144" i="8"/>
  <c r="H143" i="8"/>
  <c r="G143" i="8"/>
  <c r="F143" i="8"/>
  <c r="E143" i="8"/>
  <c r="I129" i="8"/>
  <c r="I142" i="8" s="1"/>
  <c r="H129" i="8"/>
  <c r="H142" i="8" s="1"/>
  <c r="G129" i="8"/>
  <c r="G142" i="8" s="1"/>
  <c r="F129" i="8"/>
  <c r="F142" i="8" s="1"/>
  <c r="E129" i="8"/>
  <c r="E142" i="8" s="1"/>
  <c r="D129" i="8"/>
  <c r="I123" i="8"/>
  <c r="H123" i="8"/>
  <c r="G123" i="8"/>
  <c r="F123" i="8"/>
  <c r="E123" i="8"/>
  <c r="D123" i="8"/>
  <c r="I102" i="8"/>
  <c r="H102" i="8"/>
  <c r="H112" i="8" s="1"/>
  <c r="G102" i="8"/>
  <c r="G112" i="8" s="1"/>
  <c r="F102" i="8"/>
  <c r="F112" i="8" s="1"/>
  <c r="E102" i="8"/>
  <c r="E112" i="8" s="1"/>
  <c r="D102" i="8"/>
  <c r="D112" i="8" s="1"/>
  <c r="I72" i="8"/>
  <c r="I89" i="8" s="1"/>
  <c r="H72" i="8"/>
  <c r="H89" i="8" s="1"/>
  <c r="G72" i="8"/>
  <c r="G89" i="8" s="1"/>
  <c r="F72" i="8"/>
  <c r="E72" i="8"/>
  <c r="E89" i="8" s="1"/>
  <c r="D72" i="8"/>
  <c r="D94" i="8" s="1"/>
  <c r="H149" i="8"/>
  <c r="I65" i="8"/>
  <c r="H65" i="8"/>
  <c r="G65" i="8"/>
  <c r="F65" i="8"/>
  <c r="E65" i="8"/>
  <c r="D65" i="8"/>
  <c r="I146" i="8"/>
  <c r="I52" i="8"/>
  <c r="H52" i="8"/>
  <c r="G52" i="8"/>
  <c r="F52" i="8"/>
  <c r="E52" i="8"/>
  <c r="I47" i="8"/>
  <c r="H47" i="8"/>
  <c r="G47" i="8"/>
  <c r="F47" i="8"/>
  <c r="E47" i="8"/>
  <c r="I44" i="8"/>
  <c r="I120" i="8" s="1"/>
  <c r="H44" i="8"/>
  <c r="H120" i="8" s="1"/>
  <c r="G44" i="8"/>
  <c r="G97" i="8" s="1"/>
  <c r="F44" i="8"/>
  <c r="F97" i="8" s="1"/>
  <c r="E44" i="8"/>
  <c r="E97" i="8" s="1"/>
  <c r="I43" i="8"/>
  <c r="I96" i="8" s="1"/>
  <c r="H43" i="8"/>
  <c r="H119" i="8" s="1"/>
  <c r="G43" i="8"/>
  <c r="G96" i="8" s="1"/>
  <c r="F43" i="8"/>
  <c r="F96" i="8" s="1"/>
  <c r="E43" i="8"/>
  <c r="E96" i="8" s="1"/>
  <c r="I42" i="8"/>
  <c r="H42" i="8"/>
  <c r="G42" i="8"/>
  <c r="F42" i="8"/>
  <c r="E42" i="8"/>
  <c r="E41" i="8"/>
  <c r="I34" i="8"/>
  <c r="H34" i="8"/>
  <c r="G34" i="8"/>
  <c r="F34" i="8"/>
  <c r="E34" i="8"/>
  <c r="D34" i="8"/>
  <c r="I29" i="8"/>
  <c r="H29" i="8"/>
  <c r="G29" i="8"/>
  <c r="F29" i="8"/>
  <c r="E29" i="8"/>
  <c r="D29" i="8"/>
  <c r="I24" i="8"/>
  <c r="I26" i="8" s="1"/>
  <c r="H24" i="8"/>
  <c r="H26" i="8" s="1"/>
  <c r="I23" i="8"/>
  <c r="I25" i="8" s="1"/>
  <c r="H23" i="8"/>
  <c r="H25" i="8" s="1"/>
  <c r="I22" i="8"/>
  <c r="H22" i="8"/>
  <c r="H18" i="8" s="1"/>
  <c r="G22" i="8"/>
  <c r="G18" i="8" s="1"/>
  <c r="F22" i="8"/>
  <c r="F18" i="8" s="1"/>
  <c r="E22" i="8"/>
  <c r="E18" i="8" s="1"/>
  <c r="I10" i="8"/>
  <c r="I3" i="8" s="1"/>
  <c r="H3" i="8"/>
  <c r="G3" i="8"/>
  <c r="F3" i="8"/>
  <c r="E3" i="8"/>
  <c r="I49" i="9"/>
  <c r="H49" i="9"/>
  <c r="G49" i="9"/>
  <c r="F49" i="9"/>
  <c r="E49" i="9"/>
  <c r="D49" i="9"/>
  <c r="I41" i="9"/>
  <c r="H41" i="9"/>
  <c r="G41" i="9"/>
  <c r="F41" i="9"/>
  <c r="E41" i="9"/>
  <c r="D41" i="9"/>
  <c r="I37" i="9"/>
  <c r="H37" i="9"/>
  <c r="G37" i="9"/>
  <c r="F37" i="9"/>
  <c r="E37" i="9"/>
  <c r="D37" i="9"/>
  <c r="I32" i="9"/>
  <c r="H32" i="9"/>
  <c r="G32" i="9"/>
  <c r="F32" i="9"/>
  <c r="E32" i="9"/>
  <c r="D32" i="9"/>
  <c r="I28" i="9"/>
  <c r="I27" i="9" s="1"/>
  <c r="H28" i="9"/>
  <c r="G28" i="9"/>
  <c r="F28" i="9"/>
  <c r="E28" i="9"/>
  <c r="D28" i="9"/>
  <c r="I22" i="9"/>
  <c r="H22" i="9"/>
  <c r="G22" i="9"/>
  <c r="F22" i="9"/>
  <c r="E22" i="9"/>
  <c r="D22" i="9"/>
  <c r="I18" i="9"/>
  <c r="I17" i="9" s="1"/>
  <c r="H18" i="9"/>
  <c r="G18" i="9"/>
  <c r="F18" i="9"/>
  <c r="E18" i="9"/>
  <c r="E17" i="9" s="1"/>
  <c r="D18" i="9"/>
  <c r="I9" i="9"/>
  <c r="H9" i="9"/>
  <c r="G9" i="9"/>
  <c r="F9" i="9"/>
  <c r="E9" i="9"/>
  <c r="D9" i="9"/>
  <c r="I4" i="9"/>
  <c r="H4" i="9"/>
  <c r="G4" i="9"/>
  <c r="F4" i="9"/>
  <c r="E4" i="9"/>
  <c r="D4" i="9"/>
  <c r="I36" i="1"/>
  <c r="H36" i="1"/>
  <c r="G36" i="1"/>
  <c r="F36" i="1"/>
  <c r="E36" i="1"/>
  <c r="D36" i="1"/>
  <c r="I22" i="1"/>
  <c r="H22" i="1"/>
  <c r="G22" i="1"/>
  <c r="F22" i="1"/>
  <c r="I18" i="1"/>
  <c r="H18" i="1"/>
  <c r="H17" i="1" s="1"/>
  <c r="G18" i="1"/>
  <c r="F18" i="1"/>
  <c r="I13" i="1"/>
  <c r="H13" i="1"/>
  <c r="G13" i="1"/>
  <c r="F13" i="1"/>
  <c r="E13" i="1"/>
  <c r="D13" i="1"/>
  <c r="I9" i="1"/>
  <c r="H9" i="1"/>
  <c r="G9" i="1"/>
  <c r="F9" i="1"/>
  <c r="E9" i="1"/>
  <c r="D9" i="1"/>
  <c r="I5" i="1"/>
  <c r="H5" i="1"/>
  <c r="G5" i="1"/>
  <c r="F5" i="1"/>
  <c r="E5" i="1"/>
  <c r="D5" i="1"/>
  <c r="I17" i="1" l="1"/>
  <c r="F17" i="1"/>
  <c r="G17" i="1"/>
  <c r="D4" i="1"/>
  <c r="D41" i="1" s="1"/>
  <c r="I20" i="5"/>
  <c r="F17" i="9"/>
  <c r="G4" i="1"/>
  <c r="G41" i="1" s="1"/>
  <c r="H17" i="9"/>
  <c r="F27" i="9"/>
  <c r="E3" i="9"/>
  <c r="D3" i="9"/>
  <c r="H3" i="9"/>
  <c r="D17" i="9"/>
  <c r="G27" i="9"/>
  <c r="F28" i="8"/>
  <c r="F41" i="8" s="1"/>
  <c r="F94" i="8" s="1"/>
  <c r="H28" i="8"/>
  <c r="I3" i="9"/>
  <c r="I28" i="8"/>
  <c r="J41" i="8" s="1"/>
  <c r="G28" i="8"/>
  <c r="G41" i="8" s="1"/>
  <c r="G94" i="8" s="1"/>
  <c r="G95" i="8"/>
  <c r="G17" i="9"/>
  <c r="E27" i="9"/>
  <c r="H95" i="8"/>
  <c r="F4" i="1"/>
  <c r="F41" i="1" s="1"/>
  <c r="F3" i="9"/>
  <c r="D89" i="8"/>
  <c r="D27" i="9"/>
  <c r="H27" i="9"/>
  <c r="H118" i="8"/>
  <c r="E4" i="1"/>
  <c r="E41" i="1" s="1"/>
  <c r="E17" i="1"/>
  <c r="G3" i="9"/>
  <c r="E95" i="8"/>
  <c r="I95" i="8"/>
  <c r="E94" i="8"/>
  <c r="I18" i="8"/>
  <c r="H96" i="8"/>
  <c r="E117" i="8"/>
  <c r="I119" i="8"/>
  <c r="H4" i="1"/>
  <c r="I4" i="1"/>
  <c r="D17" i="1"/>
  <c r="F89" i="8"/>
  <c r="F95" i="8" s="1"/>
  <c r="I97" i="8"/>
  <c r="I112" i="8"/>
  <c r="I118" i="8" s="1"/>
  <c r="D117" i="8"/>
  <c r="H97" i="8"/>
  <c r="D3" i="1" l="1"/>
  <c r="G3" i="1"/>
  <c r="F3" i="1"/>
  <c r="J94" i="8"/>
  <c r="J117" i="8"/>
  <c r="I41" i="8"/>
  <c r="I117" i="8" s="1"/>
  <c r="H41" i="8"/>
  <c r="E3" i="1"/>
  <c r="F117" i="8"/>
  <c r="G117" i="8"/>
  <c r="H3" i="1"/>
  <c r="H42" i="1" s="1"/>
  <c r="H41" i="1"/>
  <c r="I3" i="1"/>
  <c r="I41" i="1"/>
  <c r="I94" i="8" l="1"/>
  <c r="H94" i="8"/>
  <c r="H117" i="8"/>
  <c r="I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E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inbegrepen in ander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inbegrepen in ander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5" authorId="0" shapeId="0" xr:uid="{DF50B53D-C1C0-4520-B757-CFFD5D295263}">
      <text>
        <r>
          <rPr>
            <b/>
            <sz val="9"/>
            <color indexed="81"/>
            <rFont val="Tahoma"/>
            <charset val="1"/>
          </rPr>
          <t>inclusief Lycamobile en DPGmedia vanaf 2019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2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exclusief Orange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2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inclusief Orange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F22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sedert 1/07/2017
</t>
        </r>
      </text>
    </comment>
    <comment ref="F23" authorId="0" shapeId="0" xr:uid="{10ADAA4F-A567-495A-8906-646996401050}">
      <text>
        <r>
          <rPr>
            <b/>
            <sz val="9"/>
            <color indexed="81"/>
            <rFont val="Tahoma"/>
            <family val="2"/>
          </rPr>
          <t>tweede semester 2017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<sst xmlns="http://schemas.openxmlformats.org/spreadsheetml/2006/main" count="401" uniqueCount="268">
  <si>
    <t>Proximus</t>
  </si>
  <si>
    <t>[40-50]%</t>
  </si>
  <si>
    <t>[20-30]%</t>
  </si>
  <si>
    <t>[10-20]%</t>
  </si>
  <si>
    <t>[0-10]%</t>
  </si>
  <si>
    <t>Ander</t>
  </si>
  <si>
    <t>Orange</t>
  </si>
  <si>
    <t>Voo</t>
  </si>
  <si>
    <t>Inhoudstafel</t>
  </si>
  <si>
    <t>Marktcontext</t>
  </si>
  <si>
    <t>Mobiel</t>
  </si>
  <si>
    <t>Multiplay</t>
  </si>
  <si>
    <t>TV</t>
  </si>
  <si>
    <t xml:space="preserve">      - ander</t>
  </si>
  <si>
    <t>OMZET ELEKTRONISCHE COMMUNICATIE EN TV ( RETAIL EN WHOLESALE )</t>
  </si>
  <si>
    <t>AANDEEL IN TOTALE OMZET UIT ELEKTRONISCHE COMMUNICATIE EN TV</t>
  </si>
  <si>
    <t>INVESTERINGEN, WAARVAN :</t>
  </si>
  <si>
    <t>OMZET VAST SPRAAKTELEFOONVERKEER, WAARVAN :</t>
  </si>
  <si>
    <t>VOLUME VASTE BREEDBANDLIJNEN</t>
  </si>
  <si>
    <t>VASTE BREEDBANDLIJNEN PER SNELHEIDSCATEGORIE</t>
  </si>
  <si>
    <t>VASTE BREEDBANDLIJNEN PER TECHNOLOGIE</t>
  </si>
  <si>
    <t xml:space="preserve">   Ander</t>
  </si>
  <si>
    <t>duizend euro</t>
  </si>
  <si>
    <t xml:space="preserve">   Retail diensten (spraak, sms, mms, data)</t>
  </si>
  <si>
    <t xml:space="preserve">   M2M</t>
  </si>
  <si>
    <t xml:space="preserve">   MVNO</t>
  </si>
  <si>
    <t xml:space="preserve">   Apparatuur</t>
  </si>
  <si>
    <t xml:space="preserve">   Roaming spraak, sms, data (retail)</t>
  </si>
  <si>
    <t xml:space="preserve">   Visitor roaming</t>
  </si>
  <si>
    <t xml:space="preserve">   MTR sms</t>
  </si>
  <si>
    <t>megabytes</t>
  </si>
  <si>
    <t>AANTAL HUISHOUDENS MET EEN BUNDEL WAARVAN :</t>
  </si>
  <si>
    <t xml:space="preserve">   Double play</t>
  </si>
  <si>
    <t xml:space="preserve">   Triple play</t>
  </si>
  <si>
    <t xml:space="preserve">   Quadruple play</t>
  </si>
  <si>
    <t xml:space="preserve">   Vast BB + mobiel</t>
  </si>
  <si>
    <t xml:space="preserve">   Vast BB + vast TEL</t>
  </si>
  <si>
    <t xml:space="preserve">   Vast BB + TV</t>
  </si>
  <si>
    <t xml:space="preserve">   Vast TEL + TV</t>
  </si>
  <si>
    <t xml:space="preserve">   Vast TEL + mobiel</t>
  </si>
  <si>
    <t xml:space="preserve">   TV + mobiel</t>
  </si>
  <si>
    <t xml:space="preserve">   Vast BB + TV + vast TEL</t>
  </si>
  <si>
    <t xml:space="preserve">   Vast BB + TV + mobiel</t>
  </si>
  <si>
    <t xml:space="preserve">   Vast BB + vast TEL + mobiel</t>
  </si>
  <si>
    <t xml:space="preserve">   Vast TEL + TV+ mobiel</t>
  </si>
  <si>
    <t xml:space="preserve">   Digitaal</t>
  </si>
  <si>
    <t xml:space="preserve">   Analoog en digitaal</t>
  </si>
  <si>
    <t xml:space="preserve">   Analoog</t>
  </si>
  <si>
    <t xml:space="preserve">RETAIL TV-INKOMSTEN, WAARVAN : </t>
  </si>
  <si>
    <t xml:space="preserve">   Basis digitale TV-dienst,set-up box ( incl auteursrechten)</t>
  </si>
  <si>
    <t xml:space="preserve">   Digitale TV : andere diensten</t>
  </si>
  <si>
    <t xml:space="preserve">   Enkel analoge TV</t>
  </si>
  <si>
    <t>2017</t>
  </si>
  <si>
    <t>TOEGANGSKANALEN TOT VAST TELEFOONNETWERK</t>
  </si>
  <si>
    <t>VOLUME VAST SPRAAKTELEFOONVERKEER, WAARVAN:</t>
  </si>
  <si>
    <t xml:space="preserve">    -Nationaal vast naar vast</t>
  </si>
  <si>
    <t xml:space="preserve">    -Nationaal vast naar mobiel</t>
  </si>
  <si>
    <t xml:space="preserve">   - Internationaal</t>
  </si>
  <si>
    <t>N/A</t>
  </si>
  <si>
    <t xml:space="preserve">   MTR spraak</t>
  </si>
  <si>
    <t xml:space="preserve">   </t>
  </si>
  <si>
    <t>duizend minuten</t>
  </si>
  <si>
    <t>duizend</t>
  </si>
  <si>
    <t xml:space="preserve">MOBIEL DATAVOLUME </t>
  </si>
  <si>
    <t>SMS VOLUME</t>
  </si>
  <si>
    <t>ACTIEVE SIMKAARTEN MNO PER TYPE DIENST</t>
  </si>
  <si>
    <t>gigabytes/maand</t>
  </si>
  <si>
    <t xml:space="preserve">   Gemiddeld actieve simkaarten</t>
  </si>
  <si>
    <t xml:space="preserve">       - Zakelijk</t>
  </si>
  <si>
    <t>euro/maand</t>
  </si>
  <si>
    <t xml:space="preserve">ACTIEVE SIMKAARTEN </t>
  </si>
  <si>
    <t xml:space="preserve"> GEMIDDELD ACTIEVE SIMKAARTEN </t>
  </si>
  <si>
    <t xml:space="preserve">MOBIEL SPRAAKVERKEER </t>
  </si>
  <si>
    <t xml:space="preserve">   GEMIDDELD MAANDELIJKS SPRAAKVOLUME PER ACTIEVE SIMKAART</t>
  </si>
  <si>
    <t>minuten/maand</t>
  </si>
  <si>
    <t xml:space="preserve">    - Residentieel</t>
  </si>
  <si>
    <t xml:space="preserve">    - Zakelijk</t>
  </si>
  <si>
    <t xml:space="preserve">  SMS VOLUME MVNO</t>
  </si>
  <si>
    <t xml:space="preserve">   GEMIDDELD MAANDELIJKS SMS VOLUME PER ACTIEVE SIMKAART</t>
  </si>
  <si>
    <t>aantal sms/maand</t>
  </si>
  <si>
    <t xml:space="preserve">   MOBIEL DATAVOLUME MVNO</t>
  </si>
  <si>
    <t xml:space="preserve">   MOBIEL DATAVOLUME MNO + MVNO</t>
  </si>
  <si>
    <t xml:space="preserve">   MOBIEL DATAVOLUME MNO</t>
  </si>
  <si>
    <t xml:space="preserve">      - Postpaid MNO simkaarten</t>
  </si>
  <si>
    <t xml:space="preserve">      - Full MVNO simkaarten</t>
  </si>
  <si>
    <t xml:space="preserve">      - Light MVNO simkaarten</t>
  </si>
  <si>
    <t xml:space="preserve">      - MNO simkaarten</t>
  </si>
  <si>
    <t xml:space="preserve">   GEMIDDELD ACTIEVE SIMKAARTEN EXCL M2M ( MNO + MVNO )</t>
  </si>
  <si>
    <t xml:space="preserve">   GEMIDDELD ACTIEVE SIMKAARTEN EXCL M2M ( MNO )</t>
  </si>
  <si>
    <t xml:space="preserve">       - Residentieel</t>
  </si>
  <si>
    <t xml:space="preserve">      - enkel spraak</t>
  </si>
  <si>
    <t xml:space="preserve">      - spraak en mobiele data</t>
  </si>
  <si>
    <t xml:space="preserve">      - enkel mobiele data</t>
  </si>
  <si>
    <t xml:space="preserve">       - 3G MNO</t>
  </si>
  <si>
    <t xml:space="preserve">       - 4G MNO</t>
  </si>
  <si>
    <t xml:space="preserve">     - Mobiel naar vast ( MNO + MVNO )</t>
  </si>
  <si>
    <t xml:space="preserve">     - Mobiel naar mobiel off-net ( MNO + MVNO )</t>
  </si>
  <si>
    <t xml:space="preserve">     - Mobiel naar mobiel on-net ( MNO + MVNO )</t>
  </si>
  <si>
    <t xml:space="preserve">     - Internationaal uitgaand (excl roaming out naar abonnee in het buitenland)</t>
  </si>
  <si>
    <t xml:space="preserve">     - Oproepen naar voice mail</t>
  </si>
  <si>
    <t xml:space="preserve">     - Roaming out : naar mobiele abonnee in het buitenland ( MNO + MVNO )</t>
  </si>
  <si>
    <t xml:space="preserve">     - Roaming out : door mobiele abonnee in het buitenland ( MNO + MVNO )</t>
  </si>
  <si>
    <t xml:space="preserve">    Smartphone datakaarten ander</t>
  </si>
  <si>
    <t xml:space="preserve">     -  Residentieel</t>
  </si>
  <si>
    <t xml:space="preserve">      - Zakelijk</t>
  </si>
  <si>
    <t xml:space="preserve">      - Gemiddeld maandelijks spraakvolume  (MNO + MVNO abonnees)</t>
  </si>
  <si>
    <t xml:space="preserve">      - Gemiddeld maandelijks spraakvolume (MNO abonnees)</t>
  </si>
  <si>
    <t xml:space="preserve">             -  Residentieel</t>
  </si>
  <si>
    <t xml:space="preserve">             - Zakelijk</t>
  </si>
  <si>
    <t xml:space="preserve">   - SMS georigineerd op het thuisnetwerk (exclusief roaming )</t>
  </si>
  <si>
    <t xml:space="preserve">   - SMS roaming out : naar mobiele abonnee in het buitenland </t>
  </si>
  <si>
    <t xml:space="preserve">   - SMS roaming out : door mobiele abonnee in het buitenland </t>
  </si>
  <si>
    <t xml:space="preserve">    - SMS MVNO abonnees (inclusief roaming out)</t>
  </si>
  <si>
    <t xml:space="preserve">    - SMS MVNO abonnees (inclusief roaming out verzonden sms door mobiele abonnee)</t>
  </si>
  <si>
    <t xml:space="preserve">   - Gemiddeld verzonden SMS per actieve simkaart ( MNO )</t>
  </si>
  <si>
    <t xml:space="preserve">        - residentieel</t>
  </si>
  <si>
    <t xml:space="preserve">       - zakelijk</t>
  </si>
  <si>
    <t xml:space="preserve">   - Mobiel datavolume MNO + MVNO ( exclusief roaming out )</t>
  </si>
  <si>
    <t xml:space="preserve">   - Roaming out mobile data MNO + MVNO</t>
  </si>
  <si>
    <t xml:space="preserve">    - 3G verkeer</t>
  </si>
  <si>
    <t xml:space="preserve">    - 4G verkeer</t>
  </si>
  <si>
    <t xml:space="preserve">    - Tablet/PC</t>
  </si>
  <si>
    <t xml:space="preserve">     - 3G datasimkaarten</t>
  </si>
  <si>
    <t xml:space="preserve">     - 4G datasimkaarten</t>
  </si>
  <si>
    <t xml:space="preserve">     -  Smartphone</t>
  </si>
  <si>
    <t xml:space="preserve">      - Tablet/PC</t>
  </si>
  <si>
    <t xml:space="preserve">   OMZET ELEKTRONISCHE COMMUNICATIE, WAARVAN :</t>
  </si>
  <si>
    <t xml:space="preserve">    - Retail</t>
  </si>
  <si>
    <t xml:space="preserve">       - mobiel</t>
  </si>
  <si>
    <t xml:space="preserve">      -  vast </t>
  </si>
  <si>
    <t xml:space="preserve">       - vast </t>
  </si>
  <si>
    <t xml:space="preserve">       - ander</t>
  </si>
  <si>
    <t xml:space="preserve">   OMZET TV, WAARVAN :</t>
  </si>
  <si>
    <t xml:space="preserve">   - Retail</t>
  </si>
  <si>
    <t xml:space="preserve">  -  Wholesale</t>
  </si>
  <si>
    <t xml:space="preserve">    -  Wholesale</t>
  </si>
  <si>
    <t xml:space="preserve">    RESIDENTIEEL</t>
  </si>
  <si>
    <t xml:space="preserve">    ZAKELIJK</t>
  </si>
  <si>
    <t xml:space="preserve">   LICENTIEVERGOEDINGEN</t>
  </si>
  <si>
    <t xml:space="preserve">   ZUIVERE TV-INVESTERINGEN</t>
  </si>
  <si>
    <t xml:space="preserve">    CAPEX OVER OMZET RATIO ( incl zuivere TV-investeringen, exclusief licentievergoedingen)</t>
  </si>
  <si>
    <t xml:space="preserve">    CAPEX OVER OMZET RATIO ( excl zuivere TV-investeringen en licentievergoedingen )</t>
  </si>
  <si>
    <t xml:space="preserve">   RESIDENTIELE TOEGANGSKANALEN</t>
  </si>
  <si>
    <t xml:space="preserve">    ZAKELIJKE TOEGANGSKANALEN</t>
  </si>
  <si>
    <t xml:space="preserve">     - PSTN</t>
  </si>
  <si>
    <t xml:space="preserve">     - Kabel</t>
  </si>
  <si>
    <t xml:space="preserve">     - ISDN-2</t>
  </si>
  <si>
    <t xml:space="preserve">     -Managed VoB</t>
  </si>
  <si>
    <t xml:space="preserve">     - ISDN-30</t>
  </si>
  <si>
    <t xml:space="preserve">     - Managed VoB</t>
  </si>
  <si>
    <t xml:space="preserve">    - Nationaal vast naar mobiel</t>
  </si>
  <si>
    <t xml:space="preserve">    - Internationaal</t>
  </si>
  <si>
    <t xml:space="preserve">    - Nationaal vast naar vast</t>
  </si>
  <si>
    <t xml:space="preserve">   RESIDENTIEEL, WAARVAN  :</t>
  </si>
  <si>
    <t xml:space="preserve">  ZAKELIJK, WAARVAN :</t>
  </si>
  <si>
    <t xml:space="preserve">    - Residentieel </t>
  </si>
  <si>
    <t xml:space="preserve">     &gt;= 144 kbps; &lt; 2 Mbps</t>
  </si>
  <si>
    <t xml:space="preserve">     = 2 Mbps;&lt; 10 Mbps</t>
  </si>
  <si>
    <t xml:space="preserve">     = 10 Mbps;&lt; 30 Mbps</t>
  </si>
  <si>
    <t xml:space="preserve">     = 30 Mbps;&lt; 100 Mbps</t>
  </si>
  <si>
    <t xml:space="preserve">    - DSL</t>
  </si>
  <si>
    <t xml:space="preserve">    - VDSL</t>
  </si>
  <si>
    <t xml:space="preserve">    - Kabel</t>
  </si>
  <si>
    <t xml:space="preserve">    - NGA kabel</t>
  </si>
  <si>
    <t xml:space="preserve">   -  FTTH-FTTB</t>
  </si>
  <si>
    <t xml:space="preserve">    - Ander</t>
  </si>
  <si>
    <t xml:space="preserve">  SMS VOLUME MNO + MVNO</t>
  </si>
  <si>
    <t>Vast</t>
  </si>
  <si>
    <t xml:space="preserve">   - Residentieel</t>
  </si>
  <si>
    <t xml:space="preserve">   - Zakelijk</t>
  </si>
  <si>
    <t xml:space="preserve">Retail ARPU zakelijk </t>
  </si>
  <si>
    <t xml:space="preserve">   MOBIEL SPRAAKVOLUME RETAIL MNO + MVNO</t>
  </si>
  <si>
    <t>Retail ARPU residentieel (exclusief interconnectie)</t>
  </si>
  <si>
    <t xml:space="preserve">   Actieve simkaarten  (exclusief m2m)</t>
  </si>
  <si>
    <t xml:space="preserve">   RESIDENTIEEL  </t>
  </si>
  <si>
    <t xml:space="preserve">   ZAKELIJK </t>
  </si>
  <si>
    <t xml:space="preserve">    PC/tablet datakaarten ander</t>
  </si>
  <si>
    <t>Telenet Group (ex-Base)</t>
  </si>
  <si>
    <t xml:space="preserve">Telenet </t>
  </si>
  <si>
    <t>Telenet + Telenet Group ( ex-Base ) + SFR</t>
  </si>
  <si>
    <t>Retail ARPU digitale TV</t>
  </si>
  <si>
    <t xml:space="preserve">   Basis digitale TV-dienst, set up box ( incl auteursrechten )</t>
  </si>
  <si>
    <t xml:space="preserve">   VOLUME EINDE JAAR</t>
  </si>
  <si>
    <t xml:space="preserve">   GEMIDDELD JAARVOLUME DIGITAAL</t>
  </si>
  <si>
    <t xml:space="preserve">   - stand alone</t>
  </si>
  <si>
    <t xml:space="preserve">   - multiplay</t>
  </si>
  <si>
    <t xml:space="preserve">   Vast breedband ( huishoudens )</t>
  </si>
  <si>
    <t xml:space="preserve">  TV</t>
  </si>
  <si>
    <t xml:space="preserve">  Vaste telefonie</t>
  </si>
  <si>
    <t>MOBIELE INKOMSTEN ( RETAIL + WHOLESALE )</t>
  </si>
  <si>
    <t>RETAIL ARPU  (PER ACTIEVE SIMKAART) : Orange, Proximus, Telenet incl. ex-Base</t>
  </si>
  <si>
    <t xml:space="preserve">   ZAKELIJK MNO (inclusief Telenet vanaf 2017)</t>
  </si>
  <si>
    <t xml:space="preserve">   RESIDENTIEEL MNO (inclusief Telenet vanaf 2017)</t>
  </si>
  <si>
    <t xml:space="preserve">   Volume geporteerde mobiele nummers tijdens jaar</t>
  </si>
  <si>
    <t>X-PLAY ( in termen van huishoudens )</t>
  </si>
  <si>
    <t xml:space="preserve">   Churn unbundled services</t>
  </si>
  <si>
    <t xml:space="preserve">   Churn 2-play</t>
  </si>
  <si>
    <t xml:space="preserve">   Churn 3-play</t>
  </si>
  <si>
    <t xml:space="preserve">   Churn 4-play</t>
  </si>
  <si>
    <t>HUISHOUDENS MET VASTE DIENSTEN/TV (analoog/digitaal)</t>
  </si>
  <si>
    <t xml:space="preserve">   TOTAAL MNO (inclusief Telenet vanaf 2017)</t>
  </si>
  <si>
    <t xml:space="preserve">    Smartphone datakaarten MNO (inclusief Telenet vanaf 2017)</t>
  </si>
  <si>
    <t xml:space="preserve">    PC/tablet datakaarten MNO (inclusief Telenet vanaf 2017)</t>
  </si>
  <si>
    <t xml:space="preserve">      - Prepaid MNO simkaarten (inclusief Telenet vanaf 2017)</t>
  </si>
  <si>
    <t xml:space="preserve">   MOBIEL SPRAAKVOLUME MVNO ( roaming out inbegrepen, exclusief Telenet vanaf 2017 )</t>
  </si>
  <si>
    <t xml:space="preserve">   SMS VOLUME MNO ( inclusief roaming out, beperkt tot verzonden sms vanaf 2016 )</t>
  </si>
  <si>
    <t xml:space="preserve">   GEMIDDELD MAANDELIJKS DATAVERBRUIK MNO PER ACTIEVE DATASIMKAART</t>
  </si>
  <si>
    <t>RETAILOMZET BUNDELS RESIDENTIELE MARKT</t>
  </si>
  <si>
    <t xml:space="preserve">   - Postpaid</t>
  </si>
  <si>
    <t xml:space="preserve">   - Prepaid</t>
  </si>
  <si>
    <t xml:space="preserve">    - Smartphone</t>
  </si>
  <si>
    <t xml:space="preserve">   - Gemiddeld SMS  per actieve simkaart ( MNO + MVNO abonnees )</t>
  </si>
  <si>
    <t>Naar inhoudstafel</t>
  </si>
  <si>
    <t>euro</t>
  </si>
  <si>
    <t xml:space="preserve">MOBIEL </t>
  </si>
  <si>
    <t xml:space="preserve">     -  Zakelijk</t>
  </si>
  <si>
    <t>TRIPLE PLAY BUNDELS (residentieel) WAARVAN :</t>
  </si>
  <si>
    <t>DOUBLE PLAY BUNDELS (RESIDENTIEEL), WAARVAN :</t>
  </si>
  <si>
    <t>VERHOUDING STAND ALONE - BUNDEL PER PRODUCT (RESIDENTIEEL)</t>
  </si>
  <si>
    <t>AANTAL BUNDELS ZAKELIJKE MARKT</t>
  </si>
  <si>
    <t>ARPU/MAAND (RESIDENTIEEL)</t>
  </si>
  <si>
    <t xml:space="preserve">   ACTIEVE CS/CPS</t>
  </si>
  <si>
    <t>TV-AANSLUITINGEN PER GEWEST</t>
  </si>
  <si>
    <t xml:space="preserve">   Vlaanderen</t>
  </si>
  <si>
    <t xml:space="preserve">   Wallonie</t>
  </si>
  <si>
    <t xml:space="preserve">   Brussel</t>
  </si>
  <si>
    <t xml:space="preserve">   Churn residentieel (ontkoppelde simkaarten van mobiele netwerk)</t>
  </si>
  <si>
    <t xml:space="preserve">   Churn zakelijk (ontkoppelde simkaarten van mobiele netwerk)</t>
  </si>
  <si>
    <t xml:space="preserve">   Churn totaal (ontkoppelde simkaarten van mobiele netwerk)</t>
  </si>
  <si>
    <t>2018</t>
  </si>
  <si>
    <t xml:space="preserve">    MOBIEL SPRAAKVOLUME  MNO  ( exclusief oproepen naar voice mail vanaf 2014 )</t>
  </si>
  <si>
    <t xml:space="preserve">    - MOBIEL SPRAAKVOLUME MVNO abonnees (inclusief roaming out gemaakte oproepen)</t>
  </si>
  <si>
    <t xml:space="preserve">    - MOBIEL SPRAAKVOLUME  MVNO abonnees (inclusief roaming out: gemaakte en ontvangen oproepen)</t>
  </si>
  <si>
    <t xml:space="preserve">        - MNO</t>
  </si>
  <si>
    <t xml:space="preserve">       - MVNO</t>
  </si>
  <si>
    <t xml:space="preserve">       - MNO</t>
  </si>
  <si>
    <t xml:space="preserve">      -  MVNO</t>
  </si>
  <si>
    <t xml:space="preserve">   ROAMING IN  (oproepen onstaan op het Belgisch netwerk )</t>
  </si>
  <si>
    <t xml:space="preserve">     -  Residentieel MNO</t>
  </si>
  <si>
    <t xml:space="preserve">      - Zakelijk MNO</t>
  </si>
  <si>
    <t>[20-30]%;-0,4%</t>
  </si>
  <si>
    <t>[10-20]%;+0,2%</t>
  </si>
  <si>
    <t>[0-10]%;+0,3%</t>
  </si>
  <si>
    <t>[0-10]%;+0,2%</t>
  </si>
  <si>
    <t>VAST</t>
  </si>
  <si>
    <t xml:space="preserve">   Volume geporteerde vaste nummers tijdens jaar</t>
  </si>
  <si>
    <t xml:space="preserve">  Aquisities huishoudens  ( jaar ) </t>
  </si>
  <si>
    <t xml:space="preserve">  Aquisities via Easy switch </t>
  </si>
  <si>
    <t xml:space="preserve">  % easy switch in totaal acquisities</t>
  </si>
  <si>
    <t>ACTIEVE DATASIMKAARTEN per split smartphone/PC</t>
  </si>
  <si>
    <t>[40-50]%,-0,3%</t>
  </si>
  <si>
    <t xml:space="preserve">      -Vast</t>
  </si>
  <si>
    <t xml:space="preserve">      -Mobiel</t>
  </si>
  <si>
    <t>TV-AANSLUITINGEN ( exclusief satelliet )</t>
  </si>
  <si>
    <t xml:space="preserve">      -TV</t>
  </si>
  <si>
    <t>[10-20]%;+0,8%</t>
  </si>
  <si>
    <t>[0-10]%;-0,2%</t>
  </si>
  <si>
    <t>RETAILOMZET ELEKTRONISCHE COMMUNICATIE &amp; TV (  EXCLUSIEF ANDER ), WAARVAN :</t>
  </si>
  <si>
    <t>[40-50]%,-1%</t>
  </si>
  <si>
    <t>[20-30]%;+0,1%</t>
  </si>
  <si>
    <t>2019</t>
  </si>
  <si>
    <t>ACTIEVE DATASIMKAARTEN MNO</t>
  </si>
  <si>
    <t xml:space="preserve">   VASTE ACTIVA ( EXCL ZUIVERE TV-INVESTERINGEN)</t>
  </si>
  <si>
    <r>
      <t xml:space="preserve">duizend </t>
    </r>
    <r>
      <rPr>
        <b/>
        <sz val="10"/>
        <color theme="0"/>
        <rFont val="Calibri"/>
        <family val="2"/>
      </rPr>
      <t>euro</t>
    </r>
  </si>
  <si>
    <t xml:space="preserve">  Churn vast breedband (bundel + stand-alone)</t>
  </si>
  <si>
    <t xml:space="preserve">  Churn vaste telefonie (bundel + stand alone)</t>
  </si>
  <si>
    <t xml:space="preserve">     &gt;= 1 Gbps</t>
  </si>
  <si>
    <t xml:space="preserve">     &gt;= 100 Mbps;&lt; 1Gbps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</si>
</sst>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%"/>
    <numFmt numFmtId="166" formatCode="#,##0.0"/>
    <numFmt numFmtId="167" formatCode="#,##0.000"/>
    <numFmt numFmtId="168" formatCode="&quot;$&quot;#,##0_);\(&quot;$&quot;#,##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589199"/>
      <name val="Calibri"/>
      <family val="2"/>
      <scheme val="minor"/>
    </font>
    <font>
      <sz val="10"/>
      <color rgb="FF589199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589199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u/>
      <sz val="14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/>
      <name val="Calibri"/>
      <family val="2"/>
      <scheme val="minor"/>
    </font>
    <font>
      <b/>
      <sz val="10"/>
      <color rgb="FF32A8E0"/>
      <name val="Calibri"/>
      <family val="2"/>
      <scheme val="minor"/>
    </font>
    <font>
      <b/>
      <sz val="10"/>
      <color theme="0"/>
      <name val="Calibri"/>
      <family val="2"/>
    </font>
    <font>
      <sz val="10"/>
      <color rgb="FF32A8E0"/>
      <name val="Calibri"/>
      <family val="2"/>
      <scheme val="minor"/>
    </font>
    <font>
      <sz val="20"/>
      <color theme="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E2F7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3" borderId="0" applyNumberFormat="0" applyAlignment="0">
      <alignment vertical="center"/>
    </xf>
    <xf numFmtId="0" fontId="17" fillId="4" borderId="12">
      <alignment horizontal="center" vertical="center"/>
    </xf>
    <xf numFmtId="168" fontId="18" fillId="0" borderId="13">
      <alignment horizontal="center" vertical="center"/>
    </xf>
    <xf numFmtId="9" fontId="19" fillId="0" borderId="14">
      <alignment horizontal="left" vertical="center" indent="2"/>
    </xf>
  </cellStyleXfs>
  <cellXfs count="181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5" fontId="0" fillId="0" borderId="0" xfId="0" applyNumberFormat="1"/>
    <xf numFmtId="0" fontId="0" fillId="0" borderId="3" xfId="0" applyBorder="1"/>
    <xf numFmtId="3" fontId="10" fillId="0" borderId="6" xfId="0" applyNumberFormat="1" applyFont="1" applyBorder="1"/>
    <xf numFmtId="3" fontId="7" fillId="0" borderId="7" xfId="0" applyNumberFormat="1" applyFont="1" applyBorder="1"/>
    <xf numFmtId="3" fontId="8" fillId="0" borderId="7" xfId="0" applyNumberFormat="1" applyFont="1" applyBorder="1"/>
    <xf numFmtId="3" fontId="9" fillId="0" borderId="7" xfId="0" applyNumberFormat="1" applyFont="1" applyBorder="1"/>
    <xf numFmtId="3" fontId="8" fillId="0" borderId="7" xfId="0" applyNumberFormat="1" applyFont="1" applyBorder="1" applyAlignment="1">
      <alignment horizontal="left"/>
    </xf>
    <xf numFmtId="3" fontId="8" fillId="0" borderId="6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3" fontId="10" fillId="0" borderId="7" xfId="0" applyNumberFormat="1" applyFont="1" applyBorder="1"/>
    <xf numFmtId="3" fontId="10" fillId="2" borderId="7" xfId="0" applyNumberFormat="1" applyFont="1" applyFill="1" applyBorder="1"/>
    <xf numFmtId="0" fontId="7" fillId="0" borderId="1" xfId="0" applyFont="1" applyBorder="1" applyAlignment="1">
      <alignment horizontal="left"/>
    </xf>
    <xf numFmtId="3" fontId="8" fillId="0" borderId="1" xfId="0" applyNumberFormat="1" applyFont="1" applyBorder="1"/>
    <xf numFmtId="0" fontId="11" fillId="0" borderId="1" xfId="0" applyFont="1" applyBorder="1" applyAlignment="1">
      <alignment horizontal="left"/>
    </xf>
    <xf numFmtId="3" fontId="10" fillId="2" borderId="0" xfId="0" applyNumberFormat="1" applyFont="1" applyFill="1" applyBorder="1"/>
    <xf numFmtId="0" fontId="8" fillId="0" borderId="0" xfId="0" applyFont="1" applyBorder="1" applyAlignment="1">
      <alignment horizontal="left"/>
    </xf>
    <xf numFmtId="3" fontId="8" fillId="0" borderId="0" xfId="0" applyNumberFormat="1" applyFont="1" applyBorder="1"/>
    <xf numFmtId="0" fontId="7" fillId="0" borderId="7" xfId="0" applyFont="1" applyBorder="1" applyAlignment="1">
      <alignment horizontal="left"/>
    </xf>
    <xf numFmtId="3" fontId="7" fillId="0" borderId="7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3" fontId="10" fillId="2" borderId="8" xfId="0" applyNumberFormat="1" applyFont="1" applyFill="1" applyBorder="1"/>
    <xf numFmtId="0" fontId="9" fillId="0" borderId="7" xfId="0" applyFont="1" applyBorder="1" applyAlignment="1">
      <alignment horizontal="left"/>
    </xf>
    <xf numFmtId="3" fontId="8" fillId="0" borderId="8" xfId="0" applyNumberFormat="1" applyFont="1" applyBorder="1"/>
    <xf numFmtId="3" fontId="7" fillId="0" borderId="8" xfId="0" applyNumberFormat="1" applyFont="1" applyBorder="1"/>
    <xf numFmtId="0" fontId="9" fillId="0" borderId="6" xfId="0" applyFont="1" applyBorder="1" applyAlignment="1">
      <alignment horizontal="left"/>
    </xf>
    <xf numFmtId="3" fontId="7" fillId="0" borderId="6" xfId="0" applyNumberFormat="1" applyFont="1" applyBorder="1"/>
    <xf numFmtId="166" fontId="8" fillId="0" borderId="7" xfId="0" applyNumberFormat="1" applyFont="1" applyBorder="1"/>
    <xf numFmtId="9" fontId="0" fillId="0" borderId="0" xfId="1" applyFont="1"/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3" fontId="8" fillId="0" borderId="9" xfId="0" applyNumberFormat="1" applyFont="1" applyBorder="1"/>
    <xf numFmtId="0" fontId="10" fillId="0" borderId="7" xfId="0" applyFont="1" applyBorder="1" applyAlignment="1">
      <alignment horizontal="left"/>
    </xf>
    <xf numFmtId="3" fontId="8" fillId="0" borderId="7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49" fontId="8" fillId="2" borderId="0" xfId="0" applyNumberFormat="1" applyFont="1" applyFill="1" applyAlignment="1">
      <alignment vertical="top"/>
    </xf>
    <xf numFmtId="0" fontId="9" fillId="0" borderId="1" xfId="0" applyFont="1" applyBorder="1" applyAlignment="1">
      <alignment horizontal="left"/>
    </xf>
    <xf numFmtId="3" fontId="15" fillId="0" borderId="0" xfId="0" applyNumberFormat="1" applyFont="1"/>
    <xf numFmtId="0" fontId="15" fillId="0" borderId="0" xfId="0" applyFont="1"/>
    <xf numFmtId="3" fontId="9" fillId="0" borderId="6" xfId="0" applyNumberFormat="1" applyFont="1" applyBorder="1"/>
    <xf numFmtId="49" fontId="9" fillId="2" borderId="0" xfId="0" applyNumberFormat="1" applyFont="1" applyFill="1" applyAlignment="1">
      <alignment vertical="top"/>
    </xf>
    <xf numFmtId="3" fontId="9" fillId="0" borderId="7" xfId="0" applyNumberFormat="1" applyFont="1" applyBorder="1" applyAlignment="1">
      <alignment horizontal="left"/>
    </xf>
    <xf numFmtId="3" fontId="8" fillId="0" borderId="3" xfId="0" applyNumberFormat="1" applyFont="1" applyBorder="1"/>
    <xf numFmtId="0" fontId="8" fillId="0" borderId="10" xfId="0" applyFont="1" applyBorder="1" applyAlignment="1">
      <alignment horizontal="left"/>
    </xf>
    <xf numFmtId="166" fontId="9" fillId="0" borderId="7" xfId="0" applyNumberFormat="1" applyFont="1" applyBorder="1"/>
    <xf numFmtId="0" fontId="8" fillId="0" borderId="0" xfId="0" applyFont="1" applyFill="1" applyBorder="1" applyAlignment="1">
      <alignment horizontal="left"/>
    </xf>
    <xf numFmtId="0" fontId="7" fillId="0" borderId="2" xfId="0" applyFont="1" applyBorder="1"/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3" fontId="7" fillId="2" borderId="0" xfId="0" applyNumberFormat="1" applyFont="1" applyFill="1" applyBorder="1"/>
    <xf numFmtId="0" fontId="8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10" fillId="2" borderId="0" xfId="1" applyNumberFormat="1" applyFont="1" applyFill="1"/>
    <xf numFmtId="165" fontId="0" fillId="0" borderId="0" xfId="1" applyNumberFormat="1" applyFont="1"/>
    <xf numFmtId="165" fontId="10" fillId="2" borderId="0" xfId="1" applyNumberFormat="1" applyFont="1" applyFill="1" applyBorder="1"/>
    <xf numFmtId="3" fontId="7" fillId="0" borderId="15" xfId="0" applyNumberFormat="1" applyFont="1" applyBorder="1"/>
    <xf numFmtId="3" fontId="9" fillId="0" borderId="5" xfId="0" applyNumberFormat="1" applyFont="1" applyBorder="1" applyAlignment="1">
      <alignment horizontal="left"/>
    </xf>
    <xf numFmtId="3" fontId="7" fillId="0" borderId="5" xfId="0" applyNumberFormat="1" applyFont="1" applyBorder="1"/>
    <xf numFmtId="3" fontId="8" fillId="0" borderId="5" xfId="0" applyNumberFormat="1" applyFont="1" applyBorder="1" applyAlignment="1">
      <alignment horizontal="left"/>
    </xf>
    <xf numFmtId="3" fontId="7" fillId="0" borderId="11" xfId="0" applyNumberFormat="1" applyFont="1" applyBorder="1"/>
    <xf numFmtId="3" fontId="9" fillId="0" borderId="5" xfId="0" applyNumberFormat="1" applyFont="1" applyBorder="1"/>
    <xf numFmtId="3" fontId="7" fillId="0" borderId="10" xfId="0" applyNumberFormat="1" applyFont="1" applyBorder="1" applyAlignment="1">
      <alignment horizontal="left"/>
    </xf>
    <xf numFmtId="3" fontId="7" fillId="0" borderId="5" xfId="0" applyNumberFormat="1" applyFont="1" applyBorder="1" applyAlignment="1">
      <alignment horizontal="left"/>
    </xf>
    <xf numFmtId="49" fontId="8" fillId="2" borderId="0" xfId="0" applyNumberFormat="1" applyFont="1" applyFill="1" applyBorder="1" applyAlignment="1">
      <alignment vertical="top"/>
    </xf>
    <xf numFmtId="3" fontId="7" fillId="0" borderId="0" xfId="0" applyNumberFormat="1" applyFont="1" applyBorder="1"/>
    <xf numFmtId="0" fontId="0" fillId="0" borderId="0" xfId="0" applyBorder="1"/>
    <xf numFmtId="0" fontId="8" fillId="0" borderId="8" xfId="0" applyFont="1" applyBorder="1" applyAlignment="1">
      <alignment horizontal="left"/>
    </xf>
    <xf numFmtId="0" fontId="20" fillId="2" borderId="0" xfId="3" applyFont="1" applyFill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8" xfId="0" applyFont="1" applyBorder="1"/>
    <xf numFmtId="0" fontId="7" fillId="0" borderId="15" xfId="0" applyFont="1" applyBorder="1"/>
    <xf numFmtId="3" fontId="7" fillId="0" borderId="2" xfId="0" applyNumberFormat="1" applyFont="1" applyBorder="1"/>
    <xf numFmtId="3" fontId="10" fillId="2" borderId="2" xfId="0" applyNumberFormat="1" applyFont="1" applyFill="1" applyBorder="1"/>
    <xf numFmtId="3" fontId="9" fillId="0" borderId="1" xfId="0" applyNumberFormat="1" applyFont="1" applyBorder="1" applyAlignment="1">
      <alignment horizontal="left"/>
    </xf>
    <xf numFmtId="3" fontId="7" fillId="0" borderId="1" xfId="0" applyNumberFormat="1" applyFont="1" applyBorder="1"/>
    <xf numFmtId="3" fontId="8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3" fontId="7" fillId="0" borderId="3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0" fontId="6" fillId="2" borderId="0" xfId="3" applyFont="1" applyFill="1" applyBorder="1" applyAlignment="1">
      <alignment horizontal="center"/>
    </xf>
    <xf numFmtId="165" fontId="7" fillId="0" borderId="0" xfId="1" applyNumberFormat="1" applyFont="1" applyBorder="1"/>
    <xf numFmtId="9" fontId="7" fillId="0" borderId="0" xfId="1" applyFont="1" applyBorder="1"/>
    <xf numFmtId="3" fontId="7" fillId="0" borderId="0" xfId="0" applyNumberFormat="1" applyFont="1" applyBorder="1" applyAlignment="1">
      <alignment horizontal="center"/>
    </xf>
    <xf numFmtId="3" fontId="8" fillId="0" borderId="11" xfId="0" applyNumberFormat="1" applyFont="1" applyBorder="1"/>
    <xf numFmtId="3" fontId="7" fillId="0" borderId="9" xfId="0" applyNumberFormat="1" applyFont="1" applyBorder="1"/>
    <xf numFmtId="3" fontId="8" fillId="0" borderId="10" xfId="0" applyNumberFormat="1" applyFont="1" applyBorder="1"/>
    <xf numFmtId="3" fontId="8" fillId="0" borderId="4" xfId="0" applyNumberFormat="1" applyFont="1" applyBorder="1"/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11" xfId="0" applyBorder="1"/>
    <xf numFmtId="0" fontId="0" fillId="0" borderId="2" xfId="0" applyBorder="1"/>
    <xf numFmtId="0" fontId="8" fillId="0" borderId="2" xfId="0" applyFont="1" applyFill="1" applyBorder="1" applyAlignment="1">
      <alignment horizontal="left"/>
    </xf>
    <xf numFmtId="4" fontId="8" fillId="0" borderId="7" xfId="0" applyNumberFormat="1" applyFont="1" applyBorder="1"/>
    <xf numFmtId="4" fontId="0" fillId="0" borderId="0" xfId="0" applyNumberFormat="1"/>
    <xf numFmtId="165" fontId="10" fillId="0" borderId="0" xfId="1" applyNumberFormat="1" applyFont="1" applyFill="1" applyBorder="1"/>
    <xf numFmtId="1" fontId="0" fillId="0" borderId="0" xfId="1" applyNumberFormat="1" applyFont="1"/>
    <xf numFmtId="164" fontId="0" fillId="0" borderId="0" xfId="4" applyFont="1"/>
    <xf numFmtId="3" fontId="8" fillId="0" borderId="2" xfId="0" applyNumberFormat="1" applyFont="1" applyBorder="1"/>
    <xf numFmtId="9" fontId="10" fillId="2" borderId="0" xfId="1" applyFont="1" applyFill="1" applyBorder="1"/>
    <xf numFmtId="167" fontId="7" fillId="0" borderId="0" xfId="0" applyNumberFormat="1" applyFont="1" applyBorder="1"/>
    <xf numFmtId="10" fontId="7" fillId="0" borderId="0" xfId="1" applyNumberFormat="1" applyFont="1" applyBorder="1"/>
    <xf numFmtId="3" fontId="8" fillId="0" borderId="0" xfId="0" applyNumberFormat="1" applyFont="1" applyFill="1" applyBorder="1"/>
    <xf numFmtId="167" fontId="0" fillId="0" borderId="0" xfId="0" applyNumberFormat="1"/>
    <xf numFmtId="9" fontId="0" fillId="0" borderId="0" xfId="1" applyNumberFormat="1" applyFont="1"/>
    <xf numFmtId="3" fontId="14" fillId="5" borderId="0" xfId="0" applyNumberFormat="1" applyFont="1" applyFill="1"/>
    <xf numFmtId="3" fontId="8" fillId="0" borderId="0" xfId="0" applyNumberFormat="1" applyFont="1"/>
    <xf numFmtId="0" fontId="20" fillId="5" borderId="0" xfId="3" applyFont="1" applyFill="1" applyBorder="1" applyAlignment="1">
      <alignment horizontal="left"/>
    </xf>
    <xf numFmtId="166" fontId="8" fillId="0" borderId="7" xfId="4" applyNumberFormat="1" applyFont="1" applyBorder="1"/>
    <xf numFmtId="166" fontId="8" fillId="2" borderId="7" xfId="0" applyNumberFormat="1" applyFont="1" applyFill="1" applyBorder="1"/>
    <xf numFmtId="3" fontId="24" fillId="2" borderId="6" xfId="0" applyNumberFormat="1" applyFont="1" applyFill="1" applyBorder="1"/>
    <xf numFmtId="3" fontId="24" fillId="0" borderId="7" xfId="0" applyNumberFormat="1" applyFont="1" applyBorder="1"/>
    <xf numFmtId="3" fontId="10" fillId="2" borderId="3" xfId="0" applyNumberFormat="1" applyFont="1" applyFill="1" applyBorder="1" applyAlignment="1">
      <alignment horizontal="left"/>
    </xf>
    <xf numFmtId="3" fontId="10" fillId="2" borderId="1" xfId="0" applyNumberFormat="1" applyFont="1" applyFill="1" applyBorder="1" applyAlignment="1">
      <alignment horizontal="left"/>
    </xf>
    <xf numFmtId="3" fontId="9" fillId="2" borderId="6" xfId="0" applyNumberFormat="1" applyFont="1" applyFill="1" applyBorder="1" applyAlignment="1">
      <alignment horizontal="left"/>
    </xf>
    <xf numFmtId="3" fontId="9" fillId="2" borderId="10" xfId="0" applyNumberFormat="1" applyFont="1" applyFill="1" applyBorder="1" applyAlignment="1">
      <alignment horizontal="left"/>
    </xf>
    <xf numFmtId="3" fontId="9" fillId="2" borderId="7" xfId="0" applyNumberFormat="1" applyFont="1" applyFill="1" applyBorder="1" applyAlignment="1">
      <alignment horizontal="left"/>
    </xf>
    <xf numFmtId="3" fontId="9" fillId="2" borderId="5" xfId="0" applyNumberFormat="1" applyFont="1" applyFill="1" applyBorder="1" applyAlignment="1">
      <alignment horizontal="left"/>
    </xf>
    <xf numFmtId="3" fontId="9" fillId="2" borderId="6" xfId="0" applyNumberFormat="1" applyFont="1" applyFill="1" applyBorder="1"/>
    <xf numFmtId="3" fontId="9" fillId="2" borderId="7" xfId="0" applyNumberFormat="1" applyFont="1" applyFill="1" applyBorder="1"/>
    <xf numFmtId="3" fontId="12" fillId="2" borderId="7" xfId="0" applyNumberFormat="1" applyFont="1" applyFill="1" applyBorder="1"/>
    <xf numFmtId="165" fontId="9" fillId="2" borderId="7" xfId="1" applyNumberFormat="1" applyFont="1" applyFill="1" applyBorder="1"/>
    <xf numFmtId="3" fontId="9" fillId="0" borderId="6" xfId="0" applyNumberFormat="1" applyFont="1" applyBorder="1" applyAlignment="1">
      <alignment horizontal="left"/>
    </xf>
    <xf numFmtId="3" fontId="8" fillId="0" borderId="6" xfId="0" applyNumberFormat="1" applyFont="1" applyBorder="1" applyAlignment="1">
      <alignment horizontal="center"/>
    </xf>
    <xf numFmtId="3" fontId="14" fillId="5" borderId="0" xfId="0" applyNumberFormat="1" applyFont="1" applyFill="1" applyBorder="1"/>
    <xf numFmtId="3" fontId="14" fillId="5" borderId="5" xfId="0" applyNumberFormat="1" applyFont="1" applyFill="1" applyBorder="1"/>
    <xf numFmtId="3" fontId="14" fillId="5" borderId="1" xfId="0" applyNumberFormat="1" applyFont="1" applyFill="1" applyBorder="1"/>
    <xf numFmtId="3" fontId="14" fillId="5" borderId="7" xfId="0" applyNumberFormat="1" applyFont="1" applyFill="1" applyBorder="1"/>
    <xf numFmtId="3" fontId="14" fillId="5" borderId="7" xfId="0" applyNumberFormat="1" applyFont="1" applyFill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4" fillId="0" borderId="7" xfId="0" applyFont="1" applyBorder="1" applyAlignment="1">
      <alignment horizontal="left"/>
    </xf>
    <xf numFmtId="0" fontId="24" fillId="2" borderId="7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2" borderId="2" xfId="0" applyFont="1" applyFill="1" applyBorder="1" applyAlignment="1">
      <alignment horizontal="left"/>
    </xf>
    <xf numFmtId="3" fontId="24" fillId="2" borderId="7" xfId="0" applyNumberFormat="1" applyFont="1" applyFill="1" applyBorder="1"/>
    <xf numFmtId="0" fontId="24" fillId="2" borderId="6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3" fontId="24" fillId="2" borderId="10" xfId="0" applyNumberFormat="1" applyFont="1" applyFill="1" applyBorder="1"/>
    <xf numFmtId="3" fontId="24" fillId="2" borderId="3" xfId="0" applyNumberFormat="1" applyFont="1" applyFill="1" applyBorder="1"/>
    <xf numFmtId="3" fontId="24" fillId="2" borderId="5" xfId="0" applyNumberFormat="1" applyFont="1" applyFill="1" applyBorder="1"/>
    <xf numFmtId="3" fontId="24" fillId="2" borderId="1" xfId="0" applyNumberFormat="1" applyFont="1" applyFill="1" applyBorder="1"/>
    <xf numFmtId="0" fontId="14" fillId="5" borderId="1" xfId="0" applyFont="1" applyFill="1" applyBorder="1" applyAlignment="1">
      <alignment horizontal="left"/>
    </xf>
    <xf numFmtId="166" fontId="14" fillId="5" borderId="7" xfId="0" applyNumberFormat="1" applyFont="1" applyFill="1" applyBorder="1"/>
    <xf numFmtId="0" fontId="13" fillId="5" borderId="1" xfId="0" applyFont="1" applyFill="1" applyBorder="1" applyAlignment="1">
      <alignment horizontal="left"/>
    </xf>
    <xf numFmtId="0" fontId="26" fillId="0" borderId="1" xfId="0" applyFont="1" applyBorder="1" applyAlignment="1">
      <alignment horizontal="left"/>
    </xf>
    <xf numFmtId="3" fontId="26" fillId="0" borderId="7" xfId="0" applyNumberFormat="1" applyFont="1" applyBorder="1"/>
    <xf numFmtId="3" fontId="14" fillId="5" borderId="8" xfId="0" applyNumberFormat="1" applyFont="1" applyFill="1" applyBorder="1"/>
    <xf numFmtId="3" fontId="24" fillId="0" borderId="6" xfId="0" applyNumberFormat="1" applyFont="1" applyBorder="1"/>
    <xf numFmtId="0" fontId="24" fillId="0" borderId="1" xfId="0" applyFont="1" applyBorder="1" applyAlignment="1">
      <alignment horizontal="left"/>
    </xf>
    <xf numFmtId="167" fontId="24" fillId="0" borderId="7" xfId="0" applyNumberFormat="1" applyFont="1" applyBorder="1"/>
    <xf numFmtId="166" fontId="24" fillId="0" borderId="7" xfId="0" applyNumberFormat="1" applyFont="1" applyBorder="1"/>
    <xf numFmtId="0" fontId="24" fillId="0" borderId="5" xfId="0" applyFont="1" applyBorder="1" applyAlignment="1">
      <alignment horizontal="left"/>
    </xf>
    <xf numFmtId="3" fontId="13" fillId="5" borderId="1" xfId="0" applyNumberFormat="1" applyFont="1" applyFill="1" applyBorder="1"/>
    <xf numFmtId="3" fontId="13" fillId="5" borderId="7" xfId="0" applyNumberFormat="1" applyFont="1" applyFill="1" applyBorder="1"/>
    <xf numFmtId="3" fontId="24" fillId="2" borderId="0" xfId="0" applyNumberFormat="1" applyFont="1" applyFill="1" applyBorder="1"/>
    <xf numFmtId="3" fontId="24" fillId="2" borderId="2" xfId="0" applyNumberFormat="1" applyFont="1" applyFill="1" applyBorder="1"/>
    <xf numFmtId="3" fontId="24" fillId="2" borderId="0" xfId="0" applyNumberFormat="1" applyFont="1" applyFill="1"/>
    <xf numFmtId="4" fontId="14" fillId="5" borderId="7" xfId="0" applyNumberFormat="1" applyFont="1" applyFill="1" applyBorder="1"/>
    <xf numFmtId="165" fontId="13" fillId="5" borderId="7" xfId="1" applyNumberFormat="1" applyFont="1" applyFill="1" applyBorder="1"/>
    <xf numFmtId="3" fontId="9" fillId="2" borderId="7" xfId="1" applyNumberFormat="1" applyFont="1" applyFill="1" applyBorder="1"/>
    <xf numFmtId="3" fontId="9" fillId="2" borderId="0" xfId="0" applyNumberFormat="1" applyFont="1" applyFill="1" applyBorder="1"/>
    <xf numFmtId="165" fontId="9" fillId="2" borderId="0" xfId="1" applyNumberFormat="1" applyFont="1" applyFill="1"/>
    <xf numFmtId="165" fontId="9" fillId="2" borderId="6" xfId="1" applyNumberFormat="1" applyFont="1" applyFill="1" applyBorder="1"/>
    <xf numFmtId="3" fontId="9" fillId="2" borderId="6" xfId="1" applyNumberFormat="1" applyFont="1" applyFill="1" applyBorder="1"/>
    <xf numFmtId="9" fontId="9" fillId="2" borderId="7" xfId="1" applyFont="1" applyFill="1" applyBorder="1"/>
    <xf numFmtId="9" fontId="9" fillId="2" borderId="7" xfId="1" applyNumberFormat="1" applyFont="1" applyFill="1" applyBorder="1"/>
    <xf numFmtId="0" fontId="27" fillId="7" borderId="0" xfId="0" applyFont="1" applyFill="1"/>
    <xf numFmtId="0" fontId="0" fillId="7" borderId="0" xfId="0" applyFill="1"/>
    <xf numFmtId="165" fontId="15" fillId="0" borderId="0" xfId="1" applyNumberFormat="1" applyFont="1"/>
    <xf numFmtId="0" fontId="6" fillId="6" borderId="4" xfId="3" applyFont="1" applyFill="1" applyBorder="1" applyAlignment="1">
      <alignment horizontal="center"/>
    </xf>
    <xf numFmtId="0" fontId="6" fillId="6" borderId="5" xfId="3" applyFont="1" applyFill="1" applyBorder="1" applyAlignment="1">
      <alignment horizontal="center"/>
    </xf>
    <xf numFmtId="3" fontId="14" fillId="5" borderId="7" xfId="0" applyNumberFormat="1" applyFont="1" applyFill="1" applyBorder="1" applyAlignment="1">
      <alignment horizontal="left" wrapText="1"/>
    </xf>
    <xf numFmtId="0" fontId="23" fillId="5" borderId="5" xfId="0" applyFont="1" applyFill="1" applyBorder="1" applyAlignment="1">
      <alignment horizontal="left" wrapText="1"/>
    </xf>
  </cellXfs>
  <cellStyles count="9">
    <cellStyle name="Hyperlink" xfId="3" builtinId="8"/>
    <cellStyle name="Input link" xfId="5" xr:uid="{00000000-0005-0000-0000-000001000000}"/>
    <cellStyle name="Key Metric Header" xfId="6" xr:uid="{00000000-0005-0000-0000-000002000000}"/>
    <cellStyle name="Key Metric Percentage" xfId="8" xr:uid="{00000000-0005-0000-0000-000003000000}"/>
    <cellStyle name="Key Metric Value" xfId="7" xr:uid="{00000000-0005-0000-0000-000004000000}"/>
    <cellStyle name="Komma" xfId="4" builtinId="3"/>
    <cellStyle name="Procent" xfId="1" builtinId="5"/>
    <cellStyle name="Standaard" xfId="0" builtinId="0"/>
    <cellStyle name="Standaard 2" xfId="2" xr:uid="{00000000-0005-0000-0000-000008000000}"/>
  </cellStyles>
  <dxfs count="0"/>
  <tableStyles count="0" defaultTableStyle="TableStyleMedium2" defaultPivotStyle="PivotStyleLight16"/>
  <colors>
    <mruColors>
      <color rgb="FF32A8E0"/>
      <color rgb="FF2E2F7F"/>
      <color rgb="FF589199"/>
      <color rgb="FFF79646"/>
      <color rgb="FFFBCFAB"/>
      <color rgb="FFF8A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1</xdr:rowOff>
    </xdr:from>
    <xdr:to>
      <xdr:col>9</xdr:col>
      <xdr:colOff>428625</xdr:colOff>
      <xdr:row>13</xdr:row>
      <xdr:rowOff>94675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CDFC2C-ED09-4779-B282-5D4344CD53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95351"/>
          <a:ext cx="2867025" cy="2304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2A8E0"/>
  </sheetPr>
  <dimension ref="A2:C13"/>
  <sheetViews>
    <sheetView workbookViewId="0">
      <selection activeCell="B11" sqref="B11:C11"/>
    </sheetView>
  </sheetViews>
  <sheetFormatPr defaultRowHeight="15" x14ac:dyDescent="0.25"/>
  <cols>
    <col min="1" max="1" width="9.140625" style="175"/>
    <col min="2" max="2" width="12.85546875" style="175" customWidth="1"/>
    <col min="3" max="3" width="30" style="175" customWidth="1"/>
    <col min="4" max="16384" width="9.140625" style="175"/>
  </cols>
  <sheetData>
    <row r="2" spans="1:3" ht="25.5" x14ac:dyDescent="0.35">
      <c r="A2" s="174" t="s">
        <v>8</v>
      </c>
    </row>
    <row r="5" spans="1:3" ht="23.25" x14ac:dyDescent="0.35">
      <c r="B5" s="177" t="s">
        <v>9</v>
      </c>
      <c r="C5" s="178"/>
    </row>
    <row r="6" spans="1:3" ht="12.75" customHeight="1" x14ac:dyDescent="0.25"/>
    <row r="7" spans="1:3" ht="23.25" x14ac:dyDescent="0.35">
      <c r="B7" s="177" t="s">
        <v>167</v>
      </c>
      <c r="C7" s="178"/>
    </row>
    <row r="9" spans="1:3" ht="23.25" x14ac:dyDescent="0.35">
      <c r="B9" s="177" t="s">
        <v>10</v>
      </c>
      <c r="C9" s="178"/>
    </row>
    <row r="11" spans="1:3" ht="23.25" x14ac:dyDescent="0.35">
      <c r="B11" s="177" t="s">
        <v>11</v>
      </c>
      <c r="C11" s="178"/>
    </row>
    <row r="13" spans="1:3" ht="23.25" x14ac:dyDescent="0.35">
      <c r="B13" s="177" t="s">
        <v>12</v>
      </c>
      <c r="C13" s="178"/>
    </row>
  </sheetData>
  <mergeCells count="5">
    <mergeCell ref="B5:C5"/>
    <mergeCell ref="B7:C7"/>
    <mergeCell ref="B9:C9"/>
    <mergeCell ref="B11:C11"/>
    <mergeCell ref="B13:C13"/>
  </mergeCells>
  <hyperlinks>
    <hyperlink ref="B5" location="marktcontext!A1" display="Marktcontext" xr:uid="{00000000-0004-0000-0000-000000000000}"/>
    <hyperlink ref="B9:C9" location="mobiel!A1" display="Mobiel" xr:uid="{00000000-0004-0000-0000-000001000000}"/>
    <hyperlink ref="B11:C11" location="multiplay!A1" display="Multiplay" xr:uid="{00000000-0004-0000-0000-000002000000}"/>
    <hyperlink ref="B13:C13" location="TV!A1" display="TV" xr:uid="{00000000-0004-0000-0000-000003000000}"/>
    <hyperlink ref="B7:C7" location="vast!A1" display="Vaste toegang" xr:uid="{00000000-0004-0000-0000-000004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2A8E0"/>
  </sheetPr>
  <dimension ref="A1:P43"/>
  <sheetViews>
    <sheetView showGridLines="0" topLeftCell="C9" zoomScale="70" zoomScaleNormal="70" workbookViewId="0">
      <selection activeCell="L41" sqref="L41"/>
    </sheetView>
  </sheetViews>
  <sheetFormatPr defaultRowHeight="12.75" x14ac:dyDescent="0.2"/>
  <cols>
    <col min="1" max="1" width="23.7109375" style="71" customWidth="1"/>
    <col min="2" max="2" width="77.42578125" style="71" customWidth="1"/>
    <col min="3" max="3" width="14.85546875" style="71" bestFit="1" customWidth="1"/>
    <col min="4" max="11" width="17.7109375" style="71" customWidth="1"/>
    <col min="12" max="12" width="15.140625" style="71" bestFit="1" customWidth="1"/>
    <col min="13" max="13" width="12.140625" style="71" bestFit="1" customWidth="1"/>
    <col min="14" max="14" width="12.5703125" style="71" bestFit="1" customWidth="1"/>
    <col min="15" max="15" width="11.42578125" style="71" customWidth="1"/>
    <col min="16" max="16" width="12.42578125" style="71" customWidth="1"/>
    <col min="17" max="16384" width="9.140625" style="71"/>
  </cols>
  <sheetData>
    <row r="1" spans="1:16" ht="28.5" customHeight="1" x14ac:dyDescent="0.35">
      <c r="A1" s="115" t="s">
        <v>212</v>
      </c>
      <c r="B1" s="74"/>
      <c r="C1" s="88"/>
      <c r="D1" s="70">
        <v>2012</v>
      </c>
      <c r="E1" s="70">
        <v>2013</v>
      </c>
      <c r="F1" s="70">
        <v>2014</v>
      </c>
      <c r="G1" s="70">
        <v>2015</v>
      </c>
      <c r="H1" s="70">
        <v>2016</v>
      </c>
      <c r="I1" s="70">
        <v>2017</v>
      </c>
      <c r="J1" s="70" t="s">
        <v>229</v>
      </c>
      <c r="K1" s="70">
        <v>2019</v>
      </c>
    </row>
    <row r="2" spans="1:16" ht="11.25" customHeight="1" x14ac:dyDescent="0.35">
      <c r="A2" s="74"/>
      <c r="B2" s="74"/>
      <c r="C2" s="88"/>
      <c r="D2" s="70"/>
      <c r="E2" s="70"/>
      <c r="F2" s="70"/>
      <c r="G2" s="70"/>
      <c r="H2" s="70"/>
      <c r="I2" s="70"/>
      <c r="J2" s="70"/>
    </row>
    <row r="3" spans="1:16" x14ac:dyDescent="0.2">
      <c r="A3" s="113" t="s">
        <v>14</v>
      </c>
      <c r="B3" s="113"/>
      <c r="C3" s="113" t="s">
        <v>263</v>
      </c>
      <c r="D3" s="113">
        <f t="shared" ref="D3:K3" si="0">D4+D13</f>
        <v>8606839.29925883</v>
      </c>
      <c r="E3" s="113">
        <f t="shared" si="0"/>
        <v>8256657.3173090182</v>
      </c>
      <c r="F3" s="113">
        <f t="shared" si="0"/>
        <v>8094511.4054799546</v>
      </c>
      <c r="G3" s="113">
        <f t="shared" si="0"/>
        <v>8281221.6345079038</v>
      </c>
      <c r="H3" s="113">
        <f t="shared" si="0"/>
        <v>8400831.3161134329</v>
      </c>
      <c r="I3" s="113">
        <f t="shared" si="0"/>
        <v>8432872.1455588304</v>
      </c>
      <c r="J3" s="113">
        <f t="shared" si="0"/>
        <v>8499947.8016829751</v>
      </c>
      <c r="K3" s="113">
        <f t="shared" si="0"/>
        <v>8407253.8596246131</v>
      </c>
      <c r="M3" s="89"/>
    </row>
    <row r="4" spans="1:16" s="18" customFormat="1" x14ac:dyDescent="0.2">
      <c r="A4" s="118" t="s">
        <v>126</v>
      </c>
      <c r="B4" s="145"/>
      <c r="C4" s="146"/>
      <c r="D4" s="118">
        <f t="shared" ref="D4:K4" si="1">D5+D9</f>
        <v>7598940.6141028851</v>
      </c>
      <c r="E4" s="118">
        <f t="shared" si="1"/>
        <v>7179393.0613190187</v>
      </c>
      <c r="F4" s="118">
        <f t="shared" si="1"/>
        <v>7039056.3593199551</v>
      </c>
      <c r="G4" s="118">
        <f t="shared" si="1"/>
        <v>7180978.5430345442</v>
      </c>
      <c r="H4" s="118">
        <f t="shared" si="1"/>
        <v>7244655.5813934309</v>
      </c>
      <c r="I4" s="118">
        <f t="shared" si="1"/>
        <v>7222093.4887488279</v>
      </c>
      <c r="J4" s="118">
        <f t="shared" si="1"/>
        <v>7265390.0083229719</v>
      </c>
      <c r="K4" s="118">
        <f t="shared" si="1"/>
        <v>7149005.5693846112</v>
      </c>
      <c r="L4" s="71"/>
      <c r="N4" s="61"/>
    </row>
    <row r="5" spans="1:16" x14ac:dyDescent="0.2">
      <c r="A5" s="46" t="s">
        <v>127</v>
      </c>
      <c r="B5" s="63"/>
      <c r="C5" s="82"/>
      <c r="D5" s="8">
        <f t="shared" ref="D5:J5" si="2">SUM(D6:D8)</f>
        <v>6280055.0988865625</v>
      </c>
      <c r="E5" s="8">
        <f t="shared" si="2"/>
        <v>6153727.0511224167</v>
      </c>
      <c r="F5" s="8">
        <f t="shared" si="2"/>
        <v>6087987.2807402415</v>
      </c>
      <c r="G5" s="8">
        <f t="shared" si="2"/>
        <v>6007136.9125061147</v>
      </c>
      <c r="H5" s="8">
        <f t="shared" si="2"/>
        <v>6083603.2888534311</v>
      </c>
      <c r="I5" s="8">
        <f t="shared" si="2"/>
        <v>6079224.6201388277</v>
      </c>
      <c r="J5" s="8">
        <f t="shared" si="2"/>
        <v>6118529.7883769721</v>
      </c>
      <c r="K5" s="8">
        <f t="shared" ref="K5" si="3">SUM(K6:K8)</f>
        <v>6122619.8933665566</v>
      </c>
      <c r="M5" s="89"/>
    </row>
    <row r="6" spans="1:16" x14ac:dyDescent="0.2">
      <c r="A6" s="6" t="s">
        <v>128</v>
      </c>
      <c r="B6" s="64"/>
      <c r="C6" s="83"/>
      <c r="D6" s="6">
        <v>3019806.2240311801</v>
      </c>
      <c r="E6" s="6">
        <v>2921388.9287624243</v>
      </c>
      <c r="F6" s="6">
        <v>2873980.5885490212</v>
      </c>
      <c r="G6" s="6">
        <v>2755833.4965885128</v>
      </c>
      <c r="H6" s="6">
        <v>2756318.9128667074</v>
      </c>
      <c r="I6" s="6">
        <v>2757096.3169971532</v>
      </c>
      <c r="J6" s="6">
        <v>2725309.1907413597</v>
      </c>
      <c r="K6" s="6">
        <v>2744829.3376326594</v>
      </c>
      <c r="L6" s="89"/>
      <c r="M6" s="89"/>
      <c r="N6" s="89"/>
      <c r="O6" s="89"/>
      <c r="P6" s="89"/>
    </row>
    <row r="7" spans="1:16" x14ac:dyDescent="0.2">
      <c r="A7" s="6" t="s">
        <v>129</v>
      </c>
      <c r="B7" s="64"/>
      <c r="C7" s="83"/>
      <c r="D7" s="6">
        <v>3171685.1564773829</v>
      </c>
      <c r="E7" s="6">
        <v>3154065.8733099923</v>
      </c>
      <c r="F7" s="6">
        <v>3197351.1185157695</v>
      </c>
      <c r="G7" s="6">
        <v>3231218.8011276014</v>
      </c>
      <c r="H7" s="6">
        <v>3302278.0315667237</v>
      </c>
      <c r="I7" s="6">
        <v>3293633.0062916749</v>
      </c>
      <c r="J7" s="6">
        <v>3345635.5767446221</v>
      </c>
      <c r="K7" s="6">
        <v>3343039.3888938972</v>
      </c>
      <c r="N7" s="89"/>
      <c r="O7" s="89"/>
      <c r="P7" s="89"/>
    </row>
    <row r="8" spans="1:16" x14ac:dyDescent="0.2">
      <c r="A8" s="6" t="s">
        <v>13</v>
      </c>
      <c r="B8" s="64"/>
      <c r="C8" s="83"/>
      <c r="D8" s="6">
        <v>88563.718378000005</v>
      </c>
      <c r="E8" s="6">
        <v>78272.249049999999</v>
      </c>
      <c r="F8" s="6">
        <v>16655.573675451211</v>
      </c>
      <c r="G8" s="6">
        <v>20084.61479</v>
      </c>
      <c r="H8" s="6">
        <v>25006.344419999998</v>
      </c>
      <c r="I8" s="6">
        <v>28495.296849999999</v>
      </c>
      <c r="J8" s="6">
        <v>47585.020890990083</v>
      </c>
      <c r="K8" s="6">
        <v>34751.166839999998</v>
      </c>
      <c r="M8" s="90"/>
      <c r="N8" s="89"/>
      <c r="O8" s="90"/>
      <c r="P8" s="90"/>
    </row>
    <row r="9" spans="1:16" x14ac:dyDescent="0.2">
      <c r="A9" s="9" t="s">
        <v>135</v>
      </c>
      <c r="B9" s="65"/>
      <c r="C9" s="84"/>
      <c r="D9" s="7">
        <f t="shared" ref="D9:K9" si="4">D10+D11+D12</f>
        <v>1318885.5152163222</v>
      </c>
      <c r="E9" s="7">
        <f t="shared" si="4"/>
        <v>1025666.0101966021</v>
      </c>
      <c r="F9" s="7">
        <f t="shared" si="4"/>
        <v>951069.07857971312</v>
      </c>
      <c r="G9" s="7">
        <f t="shared" si="4"/>
        <v>1173841.6305284298</v>
      </c>
      <c r="H9" s="7">
        <f t="shared" si="4"/>
        <v>1161052.2925399998</v>
      </c>
      <c r="I9" s="7">
        <f t="shared" si="4"/>
        <v>1142868.8686100002</v>
      </c>
      <c r="J9" s="7">
        <f t="shared" si="4"/>
        <v>1146860.2199459998</v>
      </c>
      <c r="K9" s="7">
        <f t="shared" si="4"/>
        <v>1026385.6760180548</v>
      </c>
      <c r="L9" s="89"/>
      <c r="N9" s="89"/>
    </row>
    <row r="10" spans="1:16" x14ac:dyDescent="0.2">
      <c r="A10" s="6" t="s">
        <v>128</v>
      </c>
      <c r="B10" s="64"/>
      <c r="C10" s="83"/>
      <c r="D10" s="6">
        <v>964444.82138999994</v>
      </c>
      <c r="E10" s="6">
        <v>694828.96958781523</v>
      </c>
      <c r="F10" s="6">
        <v>701133.27920682239</v>
      </c>
      <c r="G10" s="6">
        <v>922139.23346999998</v>
      </c>
      <c r="H10" s="6">
        <v>916201.46748999995</v>
      </c>
      <c r="I10" s="6">
        <v>876884.88931000046</v>
      </c>
      <c r="J10" s="6">
        <v>877852.9197099997</v>
      </c>
      <c r="K10" s="6">
        <v>790722.53103000007</v>
      </c>
      <c r="M10" s="89"/>
      <c r="N10" s="89"/>
    </row>
    <row r="11" spans="1:16" x14ac:dyDescent="0.2">
      <c r="A11" s="6" t="s">
        <v>130</v>
      </c>
      <c r="B11" s="64"/>
      <c r="C11" s="83"/>
      <c r="D11" s="6">
        <v>353486.83948632219</v>
      </c>
      <c r="E11" s="6">
        <v>329909.42036878696</v>
      </c>
      <c r="F11" s="6">
        <v>249935.79937289067</v>
      </c>
      <c r="G11" s="6">
        <v>251702.39705842975</v>
      </c>
      <c r="H11" s="6">
        <v>241186.51476000002</v>
      </c>
      <c r="I11" s="6">
        <v>257479.65330000001</v>
      </c>
      <c r="J11" s="6">
        <v>256136.60223600001</v>
      </c>
      <c r="K11" s="6">
        <v>224366.27398805469</v>
      </c>
      <c r="N11" s="89"/>
    </row>
    <row r="12" spans="1:16" x14ac:dyDescent="0.2">
      <c r="A12" s="6" t="s">
        <v>131</v>
      </c>
      <c r="B12" s="64"/>
      <c r="C12" s="83"/>
      <c r="D12" s="6">
        <v>953.85433999999998</v>
      </c>
      <c r="E12" s="6">
        <v>927.62023999999997</v>
      </c>
      <c r="F12" s="6">
        <v>0</v>
      </c>
      <c r="G12" s="6">
        <v>0</v>
      </c>
      <c r="H12" s="6">
        <v>3664.3102899999999</v>
      </c>
      <c r="I12" s="6">
        <v>8504.3260000000009</v>
      </c>
      <c r="J12" s="6">
        <v>12870.698</v>
      </c>
      <c r="K12" s="6">
        <v>11296.870999999999</v>
      </c>
      <c r="N12" s="89"/>
    </row>
    <row r="13" spans="1:16" x14ac:dyDescent="0.2">
      <c r="A13" s="142" t="s">
        <v>132</v>
      </c>
      <c r="B13" s="147"/>
      <c r="C13" s="148"/>
      <c r="D13" s="142">
        <f t="shared" ref="D13:K13" si="5">D14+D15</f>
        <v>1007898.6851559449</v>
      </c>
      <c r="E13" s="142">
        <f t="shared" si="5"/>
        <v>1077264.25599</v>
      </c>
      <c r="F13" s="142">
        <f t="shared" si="5"/>
        <v>1055455.0461599999</v>
      </c>
      <c r="G13" s="142">
        <f t="shared" si="5"/>
        <v>1100243.0914733598</v>
      </c>
      <c r="H13" s="142">
        <f t="shared" si="5"/>
        <v>1156175.7347200019</v>
      </c>
      <c r="I13" s="142">
        <f t="shared" si="5"/>
        <v>1210778.6568100029</v>
      </c>
      <c r="J13" s="142">
        <f t="shared" si="5"/>
        <v>1234557.7933600028</v>
      </c>
      <c r="K13" s="142">
        <f t="shared" si="5"/>
        <v>1258248.2902400016</v>
      </c>
      <c r="N13" s="89"/>
    </row>
    <row r="14" spans="1:16" x14ac:dyDescent="0.2">
      <c r="A14" s="46" t="s">
        <v>133</v>
      </c>
      <c r="B14" s="63"/>
      <c r="C14" s="82"/>
      <c r="D14" s="7">
        <v>996198.6851559449</v>
      </c>
      <c r="E14" s="7">
        <v>1038554.67349</v>
      </c>
      <c r="F14" s="7">
        <v>1050516.8413</v>
      </c>
      <c r="G14" s="7">
        <v>1097085.4680933598</v>
      </c>
      <c r="H14" s="7">
        <v>1152571.6869200019</v>
      </c>
      <c r="I14" s="7">
        <v>1199581.3551400029</v>
      </c>
      <c r="J14" s="7">
        <v>1211416.0020900029</v>
      </c>
      <c r="K14" s="7">
        <v>1229730.8166300016</v>
      </c>
      <c r="L14" s="89"/>
      <c r="N14" s="89"/>
      <c r="O14" s="90"/>
      <c r="P14" s="90"/>
    </row>
    <row r="15" spans="1:16" x14ac:dyDescent="0.2">
      <c r="A15" s="46" t="s">
        <v>134</v>
      </c>
      <c r="B15" s="63"/>
      <c r="C15" s="82"/>
      <c r="D15" s="7">
        <v>11700</v>
      </c>
      <c r="E15" s="7">
        <v>38709.582499999997</v>
      </c>
      <c r="F15" s="7">
        <v>4938.2048599999998</v>
      </c>
      <c r="G15" s="7">
        <v>3157.62338</v>
      </c>
      <c r="H15" s="7">
        <v>3604.0478000000003</v>
      </c>
      <c r="I15" s="7">
        <v>11197.301670000001</v>
      </c>
      <c r="J15" s="7">
        <v>23141.791270000002</v>
      </c>
      <c r="K15" s="7">
        <v>28517.473610000001</v>
      </c>
      <c r="L15" s="89"/>
      <c r="M15" s="90"/>
      <c r="N15" s="90"/>
      <c r="O15" s="90"/>
      <c r="P15" s="90"/>
    </row>
    <row r="16" spans="1:16" x14ac:dyDescent="0.2">
      <c r="A16" s="28"/>
      <c r="B16" s="62"/>
      <c r="C16" s="93"/>
      <c r="D16" s="28"/>
      <c r="E16" s="28"/>
      <c r="F16" s="28"/>
      <c r="G16" s="28"/>
      <c r="H16" s="28"/>
      <c r="I16" s="28"/>
      <c r="J16" s="28"/>
      <c r="K16" s="28"/>
      <c r="L16" s="108"/>
    </row>
    <row r="17" spans="1:14" x14ac:dyDescent="0.2">
      <c r="A17" s="113" t="s">
        <v>257</v>
      </c>
      <c r="B17" s="113"/>
      <c r="C17" s="113" t="s">
        <v>22</v>
      </c>
      <c r="D17" s="113">
        <f>D5-D8</f>
        <v>6191491.3805085625</v>
      </c>
      <c r="E17" s="113">
        <f>E5-E8</f>
        <v>6075454.802072417</v>
      </c>
      <c r="F17" s="113">
        <f>F18+F22</f>
        <v>6071331.7066347906</v>
      </c>
      <c r="G17" s="113">
        <f>G18+G22</f>
        <v>5987052.2987661138</v>
      </c>
      <c r="H17" s="113">
        <f>H18+H22</f>
        <v>6058596.9441134315</v>
      </c>
      <c r="I17" s="113">
        <f>I18+I22</f>
        <v>6050729.3232888281</v>
      </c>
      <c r="J17" s="113">
        <f>J18+J22</f>
        <v>6070944.7674859818</v>
      </c>
      <c r="K17" s="113">
        <f t="shared" ref="K17" si="6">K18+K22</f>
        <v>7317599.5431565586</v>
      </c>
      <c r="N17" s="89"/>
    </row>
    <row r="18" spans="1:14" x14ac:dyDescent="0.2">
      <c r="A18" s="118" t="s">
        <v>136</v>
      </c>
      <c r="B18" s="145"/>
      <c r="C18" s="146"/>
      <c r="D18" s="118" t="s">
        <v>58</v>
      </c>
      <c r="E18" s="118" t="s">
        <v>58</v>
      </c>
      <c r="F18" s="118">
        <f>SUM(F19:F20)</f>
        <v>3706601.6016340517</v>
      </c>
      <c r="G18" s="118">
        <f>SUM(G19:G20)</f>
        <v>3663415.0588815985</v>
      </c>
      <c r="H18" s="118">
        <f>SUM(H19:H20)</f>
        <v>3710982.6861734316</v>
      </c>
      <c r="I18" s="118">
        <f>SUM(I19:I20)</f>
        <v>3710086.2291438286</v>
      </c>
      <c r="J18" s="118">
        <f>SUM(J19:J20)</f>
        <v>3694455.7177313175</v>
      </c>
      <c r="K18" s="118">
        <f>SUM(K19:K21)</f>
        <v>4832551.3839512924</v>
      </c>
      <c r="L18" s="109"/>
    </row>
    <row r="19" spans="1:14" x14ac:dyDescent="0.2">
      <c r="A19" s="46" t="s">
        <v>251</v>
      </c>
      <c r="B19" s="63"/>
      <c r="C19" s="82"/>
      <c r="D19" s="7"/>
      <c r="E19" s="7"/>
      <c r="F19" s="7">
        <v>1737788.5317735432</v>
      </c>
      <c r="G19" s="7">
        <v>1805021.0514330866</v>
      </c>
      <c r="H19" s="7">
        <v>1846696.4419567238</v>
      </c>
      <c r="I19" s="7">
        <v>1860158.7524866753</v>
      </c>
      <c r="J19" s="7">
        <v>1873137.6220106219</v>
      </c>
      <c r="K19" s="7">
        <v>1896497.4812281313</v>
      </c>
    </row>
    <row r="20" spans="1:14" x14ac:dyDescent="0.2">
      <c r="A20" s="46" t="s">
        <v>252</v>
      </c>
      <c r="B20" s="63"/>
      <c r="C20" s="82"/>
      <c r="D20" s="7"/>
      <c r="E20" s="7"/>
      <c r="F20" s="7">
        <v>1968813.0698605084</v>
      </c>
      <c r="G20" s="7">
        <v>1858394.0074485121</v>
      </c>
      <c r="H20" s="7">
        <v>1864286.244216708</v>
      </c>
      <c r="I20" s="7">
        <v>1849927.4766571533</v>
      </c>
      <c r="J20" s="7">
        <v>1821318.0957206958</v>
      </c>
      <c r="K20" s="7">
        <v>1842397.7356031591</v>
      </c>
    </row>
    <row r="21" spans="1:14" x14ac:dyDescent="0.2">
      <c r="A21" s="46" t="s">
        <v>254</v>
      </c>
      <c r="B21" s="63"/>
      <c r="C21" s="82"/>
      <c r="D21" s="114"/>
      <c r="E21" s="114"/>
      <c r="F21" s="114"/>
      <c r="G21" s="114"/>
      <c r="H21" s="114"/>
      <c r="I21" s="114"/>
      <c r="J21" s="114"/>
      <c r="K21" s="114">
        <v>1093656.167120002</v>
      </c>
    </row>
    <row r="22" spans="1:14" x14ac:dyDescent="0.2">
      <c r="A22" s="142" t="s">
        <v>137</v>
      </c>
      <c r="B22" s="147"/>
      <c r="C22" s="148"/>
      <c r="D22" s="142" t="s">
        <v>58</v>
      </c>
      <c r="E22" s="142" t="s">
        <v>58</v>
      </c>
      <c r="F22" s="142">
        <f>SUM(F23:F24)</f>
        <v>2364730.105000739</v>
      </c>
      <c r="G22" s="142">
        <f>SUM(G23:G24)</f>
        <v>2323637.2398845158</v>
      </c>
      <c r="H22" s="142">
        <f>SUM(H23:H24)</f>
        <v>2347614.2579400004</v>
      </c>
      <c r="I22" s="142">
        <f>SUM(I23:I24)</f>
        <v>2340643.094145</v>
      </c>
      <c r="J22" s="142">
        <f>SUM(J23:J24)</f>
        <v>2376489.0497546643</v>
      </c>
      <c r="K22" s="142">
        <f>SUM(K23:K25)</f>
        <v>2485048.1592052663</v>
      </c>
    </row>
    <row r="23" spans="1:14" x14ac:dyDescent="0.2">
      <c r="A23" s="8" t="s">
        <v>251</v>
      </c>
      <c r="B23" s="67"/>
      <c r="C23" s="85"/>
      <c r="D23" s="114"/>
      <c r="E23" s="114"/>
      <c r="F23" s="114">
        <v>1459562.586312226</v>
      </c>
      <c r="G23" s="114">
        <v>1426197.7501745159</v>
      </c>
      <c r="H23" s="114">
        <v>1455581.5896100001</v>
      </c>
      <c r="I23" s="114">
        <v>1433474.2538049999</v>
      </c>
      <c r="J23" s="114">
        <v>1472497.9547340001</v>
      </c>
      <c r="K23" s="114">
        <v>1446541.9076657661</v>
      </c>
    </row>
    <row r="24" spans="1:14" x14ac:dyDescent="0.2">
      <c r="A24" s="8" t="s">
        <v>252</v>
      </c>
      <c r="B24" s="67"/>
      <c r="C24" s="85"/>
      <c r="D24" s="8"/>
      <c r="E24" s="8"/>
      <c r="F24" s="8">
        <v>905167.51868851297</v>
      </c>
      <c r="G24" s="8">
        <v>897439.48970999988</v>
      </c>
      <c r="H24" s="8">
        <v>892032.66833000013</v>
      </c>
      <c r="I24" s="8">
        <v>907168.84034</v>
      </c>
      <c r="J24" s="8">
        <v>903991.09502066427</v>
      </c>
      <c r="K24" s="8">
        <v>902431.60202950006</v>
      </c>
    </row>
    <row r="25" spans="1:14" x14ac:dyDescent="0.2">
      <c r="A25" s="46" t="s">
        <v>254</v>
      </c>
      <c r="B25" s="67"/>
      <c r="C25" s="85"/>
      <c r="D25" s="8"/>
      <c r="E25" s="8"/>
      <c r="F25" s="8"/>
      <c r="G25" s="8"/>
      <c r="H25" s="8"/>
      <c r="I25" s="8"/>
      <c r="J25" s="8"/>
      <c r="K25" s="8">
        <v>136074.64950999973</v>
      </c>
    </row>
    <row r="26" spans="1:14" x14ac:dyDescent="0.2">
      <c r="B26" s="66"/>
      <c r="C26" s="80"/>
      <c r="K26" s="8"/>
    </row>
    <row r="27" spans="1:14" x14ac:dyDescent="0.2">
      <c r="A27" s="113" t="s">
        <v>15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</row>
    <row r="28" spans="1:14" x14ac:dyDescent="0.2">
      <c r="A28" s="130" t="s">
        <v>0</v>
      </c>
      <c r="B28" s="68"/>
      <c r="C28" s="86"/>
      <c r="D28" s="131" t="s">
        <v>1</v>
      </c>
      <c r="E28" s="131" t="s">
        <v>1</v>
      </c>
      <c r="F28" s="131" t="s">
        <v>1</v>
      </c>
      <c r="G28" s="131" t="s">
        <v>1</v>
      </c>
      <c r="H28" s="131" t="s">
        <v>1</v>
      </c>
      <c r="I28" s="131" t="s">
        <v>1</v>
      </c>
      <c r="J28" s="131" t="s">
        <v>250</v>
      </c>
      <c r="K28" s="131" t="s">
        <v>258</v>
      </c>
    </row>
    <row r="29" spans="1:14" x14ac:dyDescent="0.2">
      <c r="A29" s="46" t="s">
        <v>178</v>
      </c>
      <c r="B29" s="69"/>
      <c r="C29" s="87"/>
      <c r="D29" s="38" t="s">
        <v>2</v>
      </c>
      <c r="E29" s="38" t="s">
        <v>2</v>
      </c>
      <c r="F29" s="38" t="s">
        <v>2</v>
      </c>
      <c r="G29" s="38" t="s">
        <v>2</v>
      </c>
      <c r="H29" s="38" t="s">
        <v>2</v>
      </c>
      <c r="I29" s="38"/>
      <c r="J29" s="38"/>
      <c r="K29" s="38"/>
    </row>
    <row r="30" spans="1:14" x14ac:dyDescent="0.2">
      <c r="A30" s="46" t="s">
        <v>179</v>
      </c>
      <c r="B30" s="69"/>
      <c r="C30" s="87"/>
      <c r="D30" s="38"/>
      <c r="E30" s="38"/>
      <c r="F30" s="38"/>
      <c r="G30" s="38"/>
      <c r="H30" s="38"/>
      <c r="I30" s="38" t="s">
        <v>2</v>
      </c>
      <c r="J30" s="38" t="s">
        <v>240</v>
      </c>
      <c r="K30" s="38" t="s">
        <v>259</v>
      </c>
    </row>
    <row r="31" spans="1:14" x14ac:dyDescent="0.2">
      <c r="A31" s="46" t="s">
        <v>6</v>
      </c>
      <c r="B31" s="69"/>
      <c r="C31" s="87"/>
      <c r="D31" s="38" t="s">
        <v>3</v>
      </c>
      <c r="E31" s="38" t="s">
        <v>3</v>
      </c>
      <c r="F31" s="38" t="s">
        <v>3</v>
      </c>
      <c r="G31" s="38" t="s">
        <v>3</v>
      </c>
      <c r="H31" s="38" t="s">
        <v>3</v>
      </c>
      <c r="I31" s="38" t="s">
        <v>3</v>
      </c>
      <c r="J31" s="38" t="s">
        <v>241</v>
      </c>
      <c r="K31" s="38" t="s">
        <v>255</v>
      </c>
    </row>
    <row r="32" spans="1:14" x14ac:dyDescent="0.2">
      <c r="A32" s="46" t="s">
        <v>177</v>
      </c>
      <c r="B32" s="69"/>
      <c r="C32" s="87"/>
      <c r="D32" s="38" t="s">
        <v>4</v>
      </c>
      <c r="E32" s="38" t="s">
        <v>4</v>
      </c>
      <c r="F32" s="38" t="s">
        <v>4</v>
      </c>
      <c r="G32" s="38" t="s">
        <v>4</v>
      </c>
      <c r="H32" s="38" t="s">
        <v>4</v>
      </c>
      <c r="I32" s="38"/>
      <c r="J32" s="38"/>
      <c r="K32" s="38"/>
    </row>
    <row r="33" spans="1:12" x14ac:dyDescent="0.2">
      <c r="A33" s="46" t="s">
        <v>7</v>
      </c>
      <c r="B33" s="69"/>
      <c r="C33" s="87"/>
      <c r="D33" s="38" t="s">
        <v>4</v>
      </c>
      <c r="E33" s="38" t="s">
        <v>4</v>
      </c>
      <c r="F33" s="38" t="s">
        <v>4</v>
      </c>
      <c r="G33" s="38" t="s">
        <v>4</v>
      </c>
      <c r="H33" s="38" t="s">
        <v>4</v>
      </c>
      <c r="I33" s="38" t="s">
        <v>4</v>
      </c>
      <c r="J33" s="38" t="s">
        <v>243</v>
      </c>
      <c r="K33" s="38" t="s">
        <v>242</v>
      </c>
    </row>
    <row r="34" spans="1:12" x14ac:dyDescent="0.2">
      <c r="A34" s="46" t="s">
        <v>5</v>
      </c>
      <c r="B34" s="69"/>
      <c r="C34" s="87"/>
      <c r="D34" s="38" t="s">
        <v>4</v>
      </c>
      <c r="E34" s="38" t="s">
        <v>4</v>
      </c>
      <c r="F34" s="38" t="s">
        <v>4</v>
      </c>
      <c r="G34" s="38" t="s">
        <v>4</v>
      </c>
      <c r="H34" s="38" t="s">
        <v>4</v>
      </c>
      <c r="I34" s="38" t="s">
        <v>4</v>
      </c>
      <c r="J34" s="38" t="s">
        <v>242</v>
      </c>
      <c r="K34" s="38" t="s">
        <v>256</v>
      </c>
    </row>
    <row r="35" spans="1:12" x14ac:dyDescent="0.2">
      <c r="B35" s="66"/>
      <c r="C35" s="80"/>
      <c r="I35" s="91"/>
      <c r="J35" s="91"/>
    </row>
    <row r="36" spans="1:12" ht="15.75" customHeight="1" x14ac:dyDescent="0.2">
      <c r="A36" s="113" t="s">
        <v>16</v>
      </c>
      <c r="B36" s="113"/>
      <c r="C36" s="113" t="s">
        <v>22</v>
      </c>
      <c r="D36" s="113">
        <f>D37+D38</f>
        <v>1254215.42824</v>
      </c>
      <c r="E36" s="113">
        <f>E37+E38</f>
        <v>1872395.8493600001</v>
      </c>
      <c r="F36" s="113">
        <f>F37+F38</f>
        <v>1506854.7333099998</v>
      </c>
      <c r="G36" s="113">
        <f>G37+G38</f>
        <v>1495291.4345399998</v>
      </c>
      <c r="H36" s="113">
        <f>H37+H38+H39</f>
        <v>1734768.7283400001</v>
      </c>
      <c r="I36" s="113">
        <f>I37+I38+I39</f>
        <v>2020892.8190399995</v>
      </c>
      <c r="J36" s="113">
        <f>J37+J38+J39</f>
        <v>1970974.556233</v>
      </c>
      <c r="K36" s="113">
        <f>K37+K38+K39</f>
        <v>1871251.8711399999</v>
      </c>
      <c r="L36" s="89"/>
    </row>
    <row r="37" spans="1:12" x14ac:dyDescent="0.2">
      <c r="A37" s="122" t="s">
        <v>262</v>
      </c>
      <c r="B37" s="123"/>
      <c r="C37" s="120"/>
      <c r="D37" s="126">
        <v>1233295.42824</v>
      </c>
      <c r="E37" s="126">
        <v>1439402.4253700001</v>
      </c>
      <c r="F37" s="126">
        <v>1483497.2641299998</v>
      </c>
      <c r="G37" s="126">
        <v>1410603.5775899999</v>
      </c>
      <c r="H37" s="126">
        <v>1585536.0536454401</v>
      </c>
      <c r="I37" s="126">
        <v>1677262.5268204606</v>
      </c>
      <c r="J37" s="126">
        <v>1734663.799813</v>
      </c>
      <c r="K37" s="126">
        <v>1535680.4124400001</v>
      </c>
      <c r="L37" s="89"/>
    </row>
    <row r="38" spans="1:12" x14ac:dyDescent="0.2">
      <c r="A38" s="124" t="s">
        <v>138</v>
      </c>
      <c r="B38" s="125"/>
      <c r="C38" s="121"/>
      <c r="D38" s="127">
        <v>20920</v>
      </c>
      <c r="E38" s="127">
        <v>432993.42399000004</v>
      </c>
      <c r="F38" s="127">
        <v>23357.46918</v>
      </c>
      <c r="G38" s="127">
        <v>84687.856950000001</v>
      </c>
      <c r="H38" s="127">
        <v>10926.748029999999</v>
      </c>
      <c r="I38" s="127">
        <v>0</v>
      </c>
      <c r="J38" s="127">
        <v>0</v>
      </c>
      <c r="K38" s="127">
        <v>0</v>
      </c>
    </row>
    <row r="39" spans="1:12" x14ac:dyDescent="0.2">
      <c r="A39" s="124" t="s">
        <v>139</v>
      </c>
      <c r="B39" s="125"/>
      <c r="C39" s="121"/>
      <c r="D39" s="128"/>
      <c r="E39" s="128"/>
      <c r="F39" s="128"/>
      <c r="G39" s="128"/>
      <c r="H39" s="127">
        <v>138305.92666456001</v>
      </c>
      <c r="I39" s="127">
        <v>343630.29221953894</v>
      </c>
      <c r="J39" s="127">
        <v>236310.75642000002</v>
      </c>
      <c r="K39" s="127">
        <v>335571.45869999996</v>
      </c>
    </row>
    <row r="40" spans="1:12" x14ac:dyDescent="0.2">
      <c r="A40" s="124"/>
      <c r="B40" s="125"/>
      <c r="C40" s="121"/>
      <c r="D40" s="128"/>
      <c r="E40" s="128"/>
      <c r="F40" s="128"/>
      <c r="G40" s="128"/>
      <c r="H40" s="127"/>
      <c r="I40" s="127"/>
      <c r="J40" s="127"/>
      <c r="K40" s="127"/>
    </row>
    <row r="41" spans="1:12" x14ac:dyDescent="0.2">
      <c r="A41" s="124" t="s">
        <v>141</v>
      </c>
      <c r="B41" s="125"/>
      <c r="C41" s="121"/>
      <c r="D41" s="129">
        <f t="shared" ref="D41:J41" si="7">D37/D4</f>
        <v>0.16229833747497976</v>
      </c>
      <c r="E41" s="129">
        <f t="shared" si="7"/>
        <v>0.20049082325986325</v>
      </c>
      <c r="F41" s="129">
        <f t="shared" si="7"/>
        <v>0.21075229241001855</v>
      </c>
      <c r="G41" s="129">
        <f t="shared" si="7"/>
        <v>0.19643612206003136</v>
      </c>
      <c r="H41" s="129">
        <f t="shared" si="7"/>
        <v>0.21885596020846024</v>
      </c>
      <c r="I41" s="129">
        <f t="shared" si="7"/>
        <v>0.23224048946935377</v>
      </c>
      <c r="J41" s="129">
        <f t="shared" si="7"/>
        <v>0.23875714831906217</v>
      </c>
      <c r="K41" s="129">
        <f t="shared" ref="K41" si="8">K37/K4</f>
        <v>0.21481035334711482</v>
      </c>
      <c r="L41" s="89"/>
    </row>
    <row r="42" spans="1:12" x14ac:dyDescent="0.2">
      <c r="A42" s="124" t="s">
        <v>140</v>
      </c>
      <c r="B42" s="125"/>
      <c r="C42" s="121"/>
      <c r="D42" s="129"/>
      <c r="E42" s="129"/>
      <c r="F42" s="129"/>
      <c r="G42" s="129"/>
      <c r="H42" s="129">
        <f>(H37+H39)/(H3)</f>
        <v>0.20519897560656175</v>
      </c>
      <c r="I42" s="129">
        <f>(I37+I39)/(I3)</f>
        <v>0.23964466484936595</v>
      </c>
      <c r="J42" s="129">
        <f>(J37+J39)/(J3)</f>
        <v>0.23188078353172362</v>
      </c>
      <c r="K42" s="129">
        <f>(K37+K39)/(K3)</f>
        <v>0.22257587345216098</v>
      </c>
    </row>
    <row r="43" spans="1:12" x14ac:dyDescent="0.2">
      <c r="D43" s="89"/>
      <c r="E43" s="89"/>
      <c r="F43" s="89"/>
      <c r="G43" s="89"/>
      <c r="H43" s="89"/>
      <c r="I43" s="89"/>
      <c r="J43" s="89"/>
    </row>
  </sheetData>
  <hyperlinks>
    <hyperlink ref="A1" location="Inhoudstafel!A1" display="Naar inhoudstafel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D5:H5" formulaRange="1"/>
    <ignoredError sqref="J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2A8E0"/>
  </sheetPr>
  <dimension ref="A1:P55"/>
  <sheetViews>
    <sheetView showGridLines="0" tabSelected="1" topLeftCell="A25" zoomScale="75" zoomScaleNormal="75" workbookViewId="0">
      <selection activeCell="M40" sqref="M40"/>
    </sheetView>
  </sheetViews>
  <sheetFormatPr defaultRowHeight="15" x14ac:dyDescent="0.25"/>
  <cols>
    <col min="1" max="1" width="22.85546875" style="72" customWidth="1"/>
    <col min="2" max="2" width="39.140625" customWidth="1"/>
    <col min="3" max="3" width="21.5703125" customWidth="1"/>
    <col min="4" max="7" width="14.42578125" bestFit="1" customWidth="1"/>
    <col min="8" max="8" width="14" bestFit="1" customWidth="1"/>
    <col min="9" max="11" width="14.42578125" bestFit="1" customWidth="1"/>
    <col min="12" max="12" width="12.5703125" bestFit="1" customWidth="1"/>
    <col min="13" max="13" width="13.7109375" bestFit="1" customWidth="1"/>
  </cols>
  <sheetData>
    <row r="1" spans="1:14" ht="22.5" customHeight="1" x14ac:dyDescent="0.3">
      <c r="A1" s="115" t="s">
        <v>212</v>
      </c>
      <c r="B1" s="74"/>
      <c r="C1" s="55"/>
      <c r="D1" s="40">
        <v>2012</v>
      </c>
      <c r="E1" s="40">
        <v>2013</v>
      </c>
      <c r="F1" s="40">
        <v>2014</v>
      </c>
      <c r="G1" s="40">
        <v>2015</v>
      </c>
      <c r="H1" s="40">
        <v>2016</v>
      </c>
      <c r="I1" s="40" t="s">
        <v>52</v>
      </c>
      <c r="J1" s="40" t="s">
        <v>229</v>
      </c>
      <c r="K1" s="40" t="s">
        <v>260</v>
      </c>
    </row>
    <row r="2" spans="1:14" x14ac:dyDescent="0.25">
      <c r="A2" s="55"/>
      <c r="B2" s="55"/>
      <c r="C2" s="55"/>
      <c r="D2" s="40"/>
      <c r="E2" s="40"/>
      <c r="F2" s="40"/>
      <c r="G2" s="40"/>
      <c r="H2" s="40"/>
      <c r="I2" s="40"/>
      <c r="J2" s="40"/>
      <c r="K2" s="40"/>
    </row>
    <row r="3" spans="1:14" x14ac:dyDescent="0.25">
      <c r="A3" s="132" t="s">
        <v>53</v>
      </c>
      <c r="B3" s="133"/>
      <c r="C3" s="134"/>
      <c r="D3" s="135">
        <f t="shared" ref="D3:K3" si="0">D4+D9</f>
        <v>4634782</v>
      </c>
      <c r="E3" s="135">
        <f t="shared" si="0"/>
        <v>4586500.127644144</v>
      </c>
      <c r="F3" s="135">
        <f t="shared" si="0"/>
        <v>4532475</v>
      </c>
      <c r="G3" s="135">
        <f t="shared" si="0"/>
        <v>4488710.6558032557</v>
      </c>
      <c r="H3" s="135">
        <f t="shared" si="0"/>
        <v>4371055</v>
      </c>
      <c r="I3" s="135">
        <f t="shared" si="0"/>
        <v>4281818</v>
      </c>
      <c r="J3" s="135">
        <f t="shared" si="0"/>
        <v>4106864</v>
      </c>
      <c r="K3" s="135">
        <f t="shared" si="0"/>
        <v>3930410</v>
      </c>
      <c r="L3" s="60"/>
    </row>
    <row r="4" spans="1:14" x14ac:dyDescent="0.25">
      <c r="A4" s="143" t="s">
        <v>142</v>
      </c>
      <c r="B4" s="140"/>
      <c r="C4" s="144"/>
      <c r="D4" s="142">
        <f t="shared" ref="D4:K4" si="1">D5+D6+D8+D7</f>
        <v>3133415</v>
      </c>
      <c r="E4" s="142">
        <f t="shared" si="1"/>
        <v>3020645.1276441435</v>
      </c>
      <c r="F4" s="142">
        <f t="shared" si="1"/>
        <v>3041144</v>
      </c>
      <c r="G4" s="142">
        <f t="shared" si="1"/>
        <v>3089694</v>
      </c>
      <c r="H4" s="142">
        <f t="shared" si="1"/>
        <v>3076918</v>
      </c>
      <c r="I4" s="142">
        <f t="shared" si="1"/>
        <v>3040467</v>
      </c>
      <c r="J4" s="142">
        <f t="shared" si="1"/>
        <v>2961871</v>
      </c>
      <c r="K4" s="142">
        <f t="shared" si="1"/>
        <v>2850457</v>
      </c>
      <c r="L4" s="60"/>
      <c r="M4" s="60"/>
    </row>
    <row r="5" spans="1:14" x14ac:dyDescent="0.25">
      <c r="A5" s="26" t="s">
        <v>144</v>
      </c>
      <c r="B5" s="53"/>
      <c r="C5" s="41"/>
      <c r="D5" s="7">
        <v>1622146</v>
      </c>
      <c r="E5" s="7">
        <v>1541890</v>
      </c>
      <c r="F5" s="7">
        <v>1487047</v>
      </c>
      <c r="G5" s="7">
        <v>1487190</v>
      </c>
      <c r="H5" s="7">
        <v>1440675</v>
      </c>
      <c r="I5" s="7">
        <v>1363330</v>
      </c>
      <c r="J5" s="7">
        <v>1230347</v>
      </c>
      <c r="K5" s="7">
        <v>1101971</v>
      </c>
      <c r="L5" s="2"/>
      <c r="M5" s="2"/>
      <c r="N5" s="2"/>
    </row>
    <row r="6" spans="1:14" x14ac:dyDescent="0.25">
      <c r="A6" s="26" t="s">
        <v>145</v>
      </c>
      <c r="B6" s="53"/>
      <c r="C6" s="41"/>
      <c r="D6" s="7">
        <v>1293029</v>
      </c>
      <c r="E6" s="7">
        <v>1279344</v>
      </c>
      <c r="F6" s="7">
        <v>1364960</v>
      </c>
      <c r="G6" s="7">
        <v>1411248</v>
      </c>
      <c r="H6" s="7">
        <v>1438683</v>
      </c>
      <c r="I6" s="7">
        <v>1430429</v>
      </c>
      <c r="J6" s="7">
        <v>1367860</v>
      </c>
      <c r="K6" s="7">
        <v>1315560</v>
      </c>
    </row>
    <row r="7" spans="1:14" x14ac:dyDescent="0.25">
      <c r="A7" s="26" t="s">
        <v>146</v>
      </c>
      <c r="B7" s="53"/>
      <c r="C7" s="41"/>
      <c r="D7" s="7">
        <v>17828</v>
      </c>
      <c r="E7" s="7">
        <v>14418</v>
      </c>
      <c r="F7" s="7">
        <v>11624</v>
      </c>
      <c r="G7" s="7">
        <v>11830</v>
      </c>
      <c r="H7" s="7">
        <v>10088</v>
      </c>
      <c r="I7" s="7">
        <v>7936</v>
      </c>
      <c r="J7" s="7">
        <v>5742</v>
      </c>
      <c r="K7" s="7">
        <v>2926</v>
      </c>
      <c r="L7" s="2"/>
      <c r="M7" s="2"/>
    </row>
    <row r="8" spans="1:14" x14ac:dyDescent="0.25">
      <c r="A8" s="26" t="s">
        <v>147</v>
      </c>
      <c r="B8" s="53"/>
      <c r="C8" s="41"/>
      <c r="D8" s="7">
        <v>200412</v>
      </c>
      <c r="E8" s="7">
        <v>184993.12764414359</v>
      </c>
      <c r="F8" s="7">
        <v>177513</v>
      </c>
      <c r="G8" s="7">
        <v>179426</v>
      </c>
      <c r="H8" s="7">
        <v>187472</v>
      </c>
      <c r="I8" s="7">
        <v>238772</v>
      </c>
      <c r="J8" s="7">
        <v>357922</v>
      </c>
      <c r="K8" s="7">
        <v>430000</v>
      </c>
      <c r="M8" s="2"/>
    </row>
    <row r="9" spans="1:14" x14ac:dyDescent="0.25">
      <c r="A9" s="139" t="s">
        <v>143</v>
      </c>
      <c r="B9" s="140"/>
      <c r="C9" s="144"/>
      <c r="D9" s="142">
        <f t="shared" ref="D9:K9" si="2">SUM(D10:D14)</f>
        <v>1501367</v>
      </c>
      <c r="E9" s="142">
        <f t="shared" si="2"/>
        <v>1565855</v>
      </c>
      <c r="F9" s="142">
        <f t="shared" si="2"/>
        <v>1491331</v>
      </c>
      <c r="G9" s="142">
        <f t="shared" si="2"/>
        <v>1399016.6558032553</v>
      </c>
      <c r="H9" s="142">
        <f t="shared" si="2"/>
        <v>1294137</v>
      </c>
      <c r="I9" s="142">
        <f t="shared" si="2"/>
        <v>1241351</v>
      </c>
      <c r="J9" s="142">
        <f t="shared" si="2"/>
        <v>1144993</v>
      </c>
      <c r="K9" s="142">
        <f t="shared" si="2"/>
        <v>1079953</v>
      </c>
      <c r="L9" s="60"/>
    </row>
    <row r="10" spans="1:14" x14ac:dyDescent="0.25">
      <c r="A10" s="12" t="s">
        <v>144</v>
      </c>
      <c r="B10" s="54"/>
      <c r="C10" s="56"/>
      <c r="D10" s="7">
        <v>614654</v>
      </c>
      <c r="E10" s="7">
        <v>597397</v>
      </c>
      <c r="F10" s="7">
        <v>583242</v>
      </c>
      <c r="G10" s="7">
        <v>539544</v>
      </c>
      <c r="H10" s="7">
        <v>522854</v>
      </c>
      <c r="I10" s="7">
        <v>503033</v>
      </c>
      <c r="J10" s="7">
        <v>466926</v>
      </c>
      <c r="K10" s="7">
        <v>426581</v>
      </c>
    </row>
    <row r="11" spans="1:14" x14ac:dyDescent="0.25">
      <c r="A11" s="12" t="s">
        <v>145</v>
      </c>
      <c r="B11" s="54"/>
      <c r="C11" s="56"/>
      <c r="D11" s="7">
        <v>17924</v>
      </c>
      <c r="E11" s="7">
        <v>158859</v>
      </c>
      <c r="F11" s="7">
        <v>170046</v>
      </c>
      <c r="G11" s="7">
        <v>180296</v>
      </c>
      <c r="H11" s="7">
        <v>187266</v>
      </c>
      <c r="I11" s="7">
        <v>190321</v>
      </c>
      <c r="J11" s="7">
        <v>185432</v>
      </c>
      <c r="K11" s="7">
        <v>181607</v>
      </c>
    </row>
    <row r="12" spans="1:14" x14ac:dyDescent="0.25">
      <c r="A12" s="12" t="s">
        <v>146</v>
      </c>
      <c r="B12" s="54"/>
      <c r="C12" s="56"/>
      <c r="D12" s="7">
        <v>539826</v>
      </c>
      <c r="E12" s="7">
        <v>487748</v>
      </c>
      <c r="F12" s="7">
        <v>434990</v>
      </c>
      <c r="G12" s="7">
        <v>376971.65580325527</v>
      </c>
      <c r="H12" s="7">
        <v>303832</v>
      </c>
      <c r="I12" s="7">
        <v>262604</v>
      </c>
      <c r="J12" s="7">
        <v>199426</v>
      </c>
      <c r="K12" s="7">
        <v>146788</v>
      </c>
    </row>
    <row r="13" spans="1:14" x14ac:dyDescent="0.25">
      <c r="A13" s="12" t="s">
        <v>148</v>
      </c>
      <c r="B13" s="54"/>
      <c r="C13" s="56"/>
      <c r="D13" s="7">
        <v>317220</v>
      </c>
      <c r="E13" s="7">
        <v>311490</v>
      </c>
      <c r="F13" s="7">
        <v>293550</v>
      </c>
      <c r="G13" s="7">
        <v>293220</v>
      </c>
      <c r="H13" s="7">
        <v>269940</v>
      </c>
      <c r="I13" s="7">
        <v>227460</v>
      </c>
      <c r="J13" s="7">
        <v>193020</v>
      </c>
      <c r="K13" s="7">
        <v>197670</v>
      </c>
    </row>
    <row r="14" spans="1:14" x14ac:dyDescent="0.25">
      <c r="A14" s="12" t="s">
        <v>149</v>
      </c>
      <c r="B14" s="54"/>
      <c r="C14" s="56"/>
      <c r="D14" s="7">
        <v>11743</v>
      </c>
      <c r="E14" s="7">
        <v>10361</v>
      </c>
      <c r="F14" s="7">
        <v>9503</v>
      </c>
      <c r="G14" s="7">
        <v>8985</v>
      </c>
      <c r="H14" s="7">
        <v>10245</v>
      </c>
      <c r="I14" s="7">
        <v>57933</v>
      </c>
      <c r="J14" s="7">
        <v>100189</v>
      </c>
      <c r="K14" s="7">
        <v>127307</v>
      </c>
    </row>
    <row r="15" spans="1:14" x14ac:dyDescent="0.25">
      <c r="A15" s="139" t="s">
        <v>221</v>
      </c>
      <c r="B15" s="140"/>
      <c r="C15" s="144"/>
      <c r="D15" s="142">
        <v>513618</v>
      </c>
      <c r="E15" s="142">
        <v>459631</v>
      </c>
      <c r="F15" s="142">
        <v>405546</v>
      </c>
      <c r="G15" s="142">
        <v>348546</v>
      </c>
      <c r="H15" s="142">
        <v>301779</v>
      </c>
      <c r="I15" s="142">
        <v>228700</v>
      </c>
      <c r="J15" s="142">
        <v>185802</v>
      </c>
      <c r="K15" s="142">
        <v>185803</v>
      </c>
    </row>
    <row r="16" spans="1:14" x14ac:dyDescent="0.25">
      <c r="A16" s="73"/>
      <c r="B16" s="54"/>
      <c r="C16" s="56"/>
      <c r="D16" s="7"/>
      <c r="E16" s="7"/>
      <c r="F16" s="7"/>
      <c r="G16" s="7"/>
      <c r="H16" s="7"/>
      <c r="I16" s="7"/>
      <c r="J16" s="7"/>
      <c r="K16" s="7"/>
    </row>
    <row r="17" spans="1:14" x14ac:dyDescent="0.25">
      <c r="A17" s="132" t="s">
        <v>17</v>
      </c>
      <c r="B17" s="133"/>
      <c r="C17" s="134" t="s">
        <v>22</v>
      </c>
      <c r="D17" s="135">
        <f t="shared" ref="D17:J17" si="3">D18+D22</f>
        <v>473456.86909171852</v>
      </c>
      <c r="E17" s="135">
        <f t="shared" si="3"/>
        <v>437954.34187153017</v>
      </c>
      <c r="F17" s="135">
        <f t="shared" si="3"/>
        <v>385816.31956821325</v>
      </c>
      <c r="G17" s="135">
        <f t="shared" si="3"/>
        <v>380494.07899552397</v>
      </c>
      <c r="H17" s="135">
        <f t="shared" si="3"/>
        <v>349584.71881217253</v>
      </c>
      <c r="I17" s="135">
        <f t="shared" si="3"/>
        <v>319657.87537642871</v>
      </c>
      <c r="J17" s="135">
        <f t="shared" si="3"/>
        <v>273894.23676074872</v>
      </c>
      <c r="K17" s="136" t="s">
        <v>58</v>
      </c>
      <c r="L17" s="60"/>
    </row>
    <row r="18" spans="1:14" x14ac:dyDescent="0.25">
      <c r="A18" s="143" t="s">
        <v>153</v>
      </c>
      <c r="B18" s="140"/>
      <c r="C18" s="144"/>
      <c r="D18" s="142">
        <f t="shared" ref="D18:J18" si="4">SUM(D19:D21)</f>
        <v>242656.71941039179</v>
      </c>
      <c r="E18" s="142">
        <f t="shared" si="4"/>
        <v>223078.84537304559</v>
      </c>
      <c r="F18" s="142">
        <f t="shared" si="4"/>
        <v>205401.39034822118</v>
      </c>
      <c r="G18" s="142">
        <f t="shared" si="4"/>
        <v>216669.5522781536</v>
      </c>
      <c r="H18" s="142">
        <f t="shared" si="4"/>
        <v>200140.81684841256</v>
      </c>
      <c r="I18" s="142">
        <f t="shared" si="4"/>
        <v>173712.54161263537</v>
      </c>
      <c r="J18" s="142">
        <f t="shared" si="4"/>
        <v>154065.44413703907</v>
      </c>
      <c r="K18" s="142"/>
    </row>
    <row r="19" spans="1:14" x14ac:dyDescent="0.25">
      <c r="A19" s="12" t="s">
        <v>152</v>
      </c>
      <c r="B19" s="54"/>
      <c r="C19" s="56"/>
      <c r="D19" s="7">
        <v>115530.96885438502</v>
      </c>
      <c r="E19" s="7">
        <v>119494.12804581253</v>
      </c>
      <c r="F19" s="7">
        <v>122109.31757188354</v>
      </c>
      <c r="G19" s="7">
        <v>126199.84011030001</v>
      </c>
      <c r="H19" s="7">
        <v>127570.13557273675</v>
      </c>
      <c r="I19" s="7">
        <v>114120.16155427514</v>
      </c>
      <c r="J19" s="7">
        <v>104412.96988953893</v>
      </c>
      <c r="K19" s="7"/>
    </row>
    <row r="20" spans="1:14" x14ac:dyDescent="0.25">
      <c r="A20" s="12" t="s">
        <v>150</v>
      </c>
      <c r="B20" s="54"/>
      <c r="C20" s="56"/>
      <c r="D20" s="7">
        <v>73759.280291700998</v>
      </c>
      <c r="E20" s="7">
        <v>55368.639636364125</v>
      </c>
      <c r="F20" s="7">
        <v>43331.411666543812</v>
      </c>
      <c r="G20" s="7">
        <v>46000.361980600006</v>
      </c>
      <c r="H20" s="7">
        <v>42162.330262431366</v>
      </c>
      <c r="I20" s="7">
        <v>32899.783755124881</v>
      </c>
      <c r="J20" s="7">
        <v>28019.43218478675</v>
      </c>
      <c r="K20" s="7"/>
    </row>
    <row r="21" spans="1:14" x14ac:dyDescent="0.25">
      <c r="A21" s="12" t="s">
        <v>151</v>
      </c>
      <c r="B21" s="54"/>
      <c r="C21" s="56"/>
      <c r="D21" s="7">
        <v>53366.470264305768</v>
      </c>
      <c r="E21" s="7">
        <v>48216.077690868929</v>
      </c>
      <c r="F21" s="7">
        <v>39960.661109793808</v>
      </c>
      <c r="G21" s="7">
        <v>44469.3501872536</v>
      </c>
      <c r="H21" s="7">
        <v>30408.35101324445</v>
      </c>
      <c r="I21" s="7">
        <v>26692.596303235328</v>
      </c>
      <c r="J21" s="7">
        <v>21633.042062713394</v>
      </c>
      <c r="K21" s="7"/>
    </row>
    <row r="22" spans="1:14" x14ac:dyDescent="0.25">
      <c r="A22" s="139" t="s">
        <v>154</v>
      </c>
      <c r="B22" s="140"/>
      <c r="C22" s="141"/>
      <c r="D22" s="142">
        <f t="shared" ref="D22:J22" si="5">SUM(D23:D25)</f>
        <v>230800.14968132673</v>
      </c>
      <c r="E22" s="142">
        <f t="shared" si="5"/>
        <v>214875.49649848454</v>
      </c>
      <c r="F22" s="142">
        <f t="shared" si="5"/>
        <v>180414.92921999207</v>
      </c>
      <c r="G22" s="142">
        <f t="shared" si="5"/>
        <v>163824.52671737041</v>
      </c>
      <c r="H22" s="142">
        <f t="shared" si="5"/>
        <v>149443.90196376</v>
      </c>
      <c r="I22" s="142">
        <f t="shared" si="5"/>
        <v>145945.33376379337</v>
      </c>
      <c r="J22" s="142">
        <f t="shared" si="5"/>
        <v>119828.79262370964</v>
      </c>
      <c r="K22" s="142"/>
    </row>
    <row r="23" spans="1:14" x14ac:dyDescent="0.25">
      <c r="A23" s="26" t="s">
        <v>55</v>
      </c>
      <c r="B23" s="53"/>
      <c r="C23" s="41"/>
      <c r="D23" s="8">
        <v>94848</v>
      </c>
      <c r="E23" s="8">
        <v>97123.264955063685</v>
      </c>
      <c r="F23" s="8">
        <v>83983.167428964778</v>
      </c>
      <c r="G23" s="8">
        <v>73764.299878444508</v>
      </c>
      <c r="H23" s="8">
        <v>65731.566586938061</v>
      </c>
      <c r="I23" s="7">
        <v>72636.892916586803</v>
      </c>
      <c r="J23" s="7">
        <v>54811.331912475187</v>
      </c>
      <c r="K23" s="7"/>
    </row>
    <row r="24" spans="1:14" x14ac:dyDescent="0.25">
      <c r="A24" s="26" t="s">
        <v>56</v>
      </c>
      <c r="B24" s="53"/>
      <c r="C24" s="41"/>
      <c r="D24" s="8">
        <v>84147.433472358243</v>
      </c>
      <c r="E24" s="8">
        <v>71257.556375124317</v>
      </c>
      <c r="F24" s="8">
        <v>55607.290650421171</v>
      </c>
      <c r="G24" s="8">
        <v>54769.71533787949</v>
      </c>
      <c r="H24" s="8">
        <v>52805.477602545929</v>
      </c>
      <c r="I24" s="7">
        <v>45130.565665343958</v>
      </c>
      <c r="J24" s="7">
        <v>43501.940753663584</v>
      </c>
      <c r="K24" s="7"/>
    </row>
    <row r="25" spans="1:14" x14ac:dyDescent="0.25">
      <c r="A25" s="26" t="s">
        <v>57</v>
      </c>
      <c r="B25" s="53"/>
      <c r="C25" s="41"/>
      <c r="D25" s="8">
        <v>51804.716208968486</v>
      </c>
      <c r="E25" s="8">
        <v>46494.675168296526</v>
      </c>
      <c r="F25" s="8">
        <v>40824.471140606118</v>
      </c>
      <c r="G25" s="8">
        <v>35290.5115010464</v>
      </c>
      <c r="H25" s="8">
        <v>30906.857774275999</v>
      </c>
      <c r="I25" s="7">
        <v>28177.875181862622</v>
      </c>
      <c r="J25" s="7">
        <v>21515.519957570868</v>
      </c>
      <c r="K25" s="7"/>
    </row>
    <row r="26" spans="1:14" x14ac:dyDescent="0.25">
      <c r="A26" s="75"/>
      <c r="B26" s="76"/>
      <c r="C26" s="58"/>
      <c r="D26" s="11"/>
      <c r="E26" s="11"/>
      <c r="F26" s="11"/>
      <c r="G26" s="11"/>
      <c r="H26" s="11"/>
      <c r="I26" s="11"/>
      <c r="J26" s="11"/>
      <c r="K26" s="11"/>
    </row>
    <row r="27" spans="1:14" x14ac:dyDescent="0.25">
      <c r="A27" s="132" t="s">
        <v>54</v>
      </c>
      <c r="B27" s="133"/>
      <c r="C27" s="134" t="s">
        <v>61</v>
      </c>
      <c r="D27" s="135">
        <f t="shared" ref="D27:K27" si="6">D28+D32</f>
        <v>12282796.751841892</v>
      </c>
      <c r="E27" s="135">
        <f t="shared" si="6"/>
        <v>11424374.605210267</v>
      </c>
      <c r="F27" s="135">
        <f t="shared" si="6"/>
        <v>10575643.856033698</v>
      </c>
      <c r="G27" s="135">
        <f t="shared" si="6"/>
        <v>9605591.0551154613</v>
      </c>
      <c r="H27" s="135">
        <f t="shared" si="6"/>
        <v>8923776.646408435</v>
      </c>
      <c r="I27" s="135">
        <f t="shared" si="6"/>
        <v>7773197.5069128424</v>
      </c>
      <c r="J27" s="135">
        <f t="shared" si="6"/>
        <v>6623382.8742634831</v>
      </c>
      <c r="K27" s="135">
        <f t="shared" si="6"/>
        <v>5624739.9350432549</v>
      </c>
      <c r="L27" s="60"/>
    </row>
    <row r="28" spans="1:14" x14ac:dyDescent="0.25">
      <c r="A28" s="137" t="s">
        <v>153</v>
      </c>
      <c r="B28" s="52"/>
      <c r="C28" s="33"/>
      <c r="D28" s="119">
        <f t="shared" ref="D28:K28" si="7">SUM(D29:D31)</f>
        <v>8322739.9548465246</v>
      </c>
      <c r="E28" s="119">
        <f t="shared" si="7"/>
        <v>7864750.2658426911</v>
      </c>
      <c r="F28" s="119">
        <f t="shared" si="7"/>
        <v>7298386.0530207306</v>
      </c>
      <c r="G28" s="119">
        <f t="shared" si="7"/>
        <v>6663664.6442324771</v>
      </c>
      <c r="H28" s="119">
        <f t="shared" si="7"/>
        <v>6110496.2383349873</v>
      </c>
      <c r="I28" s="119">
        <f t="shared" si="7"/>
        <v>5269936.2181511372</v>
      </c>
      <c r="J28" s="119">
        <f t="shared" si="7"/>
        <v>4404679.4887949955</v>
      </c>
      <c r="K28" s="119">
        <f t="shared" si="7"/>
        <v>3698894.8469506665</v>
      </c>
      <c r="L28" s="60"/>
    </row>
    <row r="29" spans="1:14" x14ac:dyDescent="0.25">
      <c r="A29" s="26" t="s">
        <v>55</v>
      </c>
      <c r="B29" s="53"/>
      <c r="C29" s="41"/>
      <c r="D29" s="8">
        <v>6300939.3189168293</v>
      </c>
      <c r="E29" s="8">
        <v>5744400.6394012822</v>
      </c>
      <c r="F29" s="8">
        <v>5280168.2278001094</v>
      </c>
      <c r="G29" s="8">
        <v>4731450.0844999989</v>
      </c>
      <c r="H29" s="8">
        <v>4345427.0539100002</v>
      </c>
      <c r="I29" s="7">
        <v>3792954.9209650024</v>
      </c>
      <c r="J29" s="7">
        <v>3247293.5972933299</v>
      </c>
      <c r="K29" s="7">
        <v>2734832.9260550002</v>
      </c>
      <c r="L29" s="32"/>
      <c r="M29" s="32"/>
      <c r="N29" s="3"/>
    </row>
    <row r="30" spans="1:14" x14ac:dyDescent="0.25">
      <c r="A30" s="26" t="s">
        <v>56</v>
      </c>
      <c r="B30" s="53"/>
      <c r="C30" s="41"/>
      <c r="D30" s="8">
        <v>1079113.4496718328</v>
      </c>
      <c r="E30" s="8">
        <v>1140523.5811116919</v>
      </c>
      <c r="F30" s="8">
        <v>1107704.9750088325</v>
      </c>
      <c r="G30" s="8">
        <v>1086206.5560349999</v>
      </c>
      <c r="H30" s="8">
        <v>1016230.6094800001</v>
      </c>
      <c r="I30" s="7">
        <v>879007.92258833325</v>
      </c>
      <c r="J30" s="7">
        <v>740377.24170500005</v>
      </c>
      <c r="K30" s="7">
        <v>625606.57542899996</v>
      </c>
      <c r="L30" s="3"/>
    </row>
    <row r="31" spans="1:14" x14ac:dyDescent="0.25">
      <c r="A31" s="26" t="s">
        <v>57</v>
      </c>
      <c r="B31" s="53"/>
      <c r="C31" s="41"/>
      <c r="D31" s="8">
        <v>942687.1862578626</v>
      </c>
      <c r="E31" s="8">
        <v>979826.04532971664</v>
      </c>
      <c r="F31" s="8">
        <v>910512.85021178855</v>
      </c>
      <c r="G31" s="8">
        <v>846008.00369747833</v>
      </c>
      <c r="H31" s="8">
        <v>748838.57494498661</v>
      </c>
      <c r="I31" s="7">
        <v>597973.37459780159</v>
      </c>
      <c r="J31" s="7">
        <v>417008.649796666</v>
      </c>
      <c r="K31" s="7">
        <v>338455.34546666645</v>
      </c>
    </row>
    <row r="32" spans="1:14" x14ac:dyDescent="0.25">
      <c r="A32" s="138" t="s">
        <v>154</v>
      </c>
      <c r="B32" s="52"/>
      <c r="C32" s="57"/>
      <c r="D32" s="119">
        <f t="shared" ref="D32:K32" si="8">SUM(D33:D35)</f>
        <v>3960056.7969953665</v>
      </c>
      <c r="E32" s="119">
        <f t="shared" si="8"/>
        <v>3559624.339367575</v>
      </c>
      <c r="F32" s="119">
        <f t="shared" si="8"/>
        <v>3277257.803012968</v>
      </c>
      <c r="G32" s="119">
        <f t="shared" si="8"/>
        <v>2941926.4108829852</v>
      </c>
      <c r="H32" s="119">
        <f t="shared" si="8"/>
        <v>2813280.4080734467</v>
      </c>
      <c r="I32" s="119">
        <f t="shared" si="8"/>
        <v>2503261.2887617047</v>
      </c>
      <c r="J32" s="119">
        <f t="shared" si="8"/>
        <v>2218703.3854684876</v>
      </c>
      <c r="K32" s="119">
        <f t="shared" si="8"/>
        <v>1925845.0880925879</v>
      </c>
      <c r="L32" s="60"/>
    </row>
    <row r="33" spans="1:16" x14ac:dyDescent="0.25">
      <c r="A33" s="26" t="s">
        <v>55</v>
      </c>
      <c r="B33" s="53"/>
      <c r="C33" s="41"/>
      <c r="D33" s="8">
        <v>2491841.0457271314</v>
      </c>
      <c r="E33" s="8">
        <v>2225209.6702618403</v>
      </c>
      <c r="F33" s="8">
        <v>2093359.4570122566</v>
      </c>
      <c r="G33" s="8">
        <v>1867279.8621665933</v>
      </c>
      <c r="H33" s="8">
        <v>1748769.0724133668</v>
      </c>
      <c r="I33" s="7">
        <v>1491269.4777652039</v>
      </c>
      <c r="J33" s="7">
        <v>1368968.4347397361</v>
      </c>
      <c r="K33" s="7">
        <v>1174270.020240247</v>
      </c>
    </row>
    <row r="34" spans="1:16" x14ac:dyDescent="0.25">
      <c r="A34" s="26" t="s">
        <v>56</v>
      </c>
      <c r="B34" s="53"/>
      <c r="C34" s="41"/>
      <c r="D34" s="8">
        <v>944999.97235307121</v>
      </c>
      <c r="E34" s="8">
        <v>875488.9658931361</v>
      </c>
      <c r="F34" s="8">
        <v>809069.29735499993</v>
      </c>
      <c r="G34" s="8">
        <v>751074.1172365332</v>
      </c>
      <c r="H34" s="8">
        <v>744630.76935799979</v>
      </c>
      <c r="I34" s="7">
        <v>692696.74899746152</v>
      </c>
      <c r="J34" s="7">
        <v>631748.41631607071</v>
      </c>
      <c r="K34" s="7">
        <v>576817.28070051561</v>
      </c>
    </row>
    <row r="35" spans="1:16" x14ac:dyDescent="0.25">
      <c r="A35" s="26" t="s">
        <v>57</v>
      </c>
      <c r="B35" s="53"/>
      <c r="C35" s="41"/>
      <c r="D35" s="8">
        <v>523215.77891516371</v>
      </c>
      <c r="E35" s="8">
        <v>458925.70321259834</v>
      </c>
      <c r="F35" s="8">
        <v>374829.04864571145</v>
      </c>
      <c r="G35" s="8">
        <v>323572.43147985882</v>
      </c>
      <c r="H35" s="8">
        <v>319880.56630208</v>
      </c>
      <c r="I35" s="7">
        <v>319295.06199903926</v>
      </c>
      <c r="J35" s="7">
        <v>217986.53441268043</v>
      </c>
      <c r="K35" s="7">
        <v>174757.78715182503</v>
      </c>
    </row>
    <row r="36" spans="1:16" x14ac:dyDescent="0.25">
      <c r="A36" s="73"/>
      <c r="B36" s="54"/>
      <c r="C36" s="56"/>
      <c r="D36" s="7"/>
      <c r="E36" s="7"/>
      <c r="F36" s="7"/>
      <c r="G36" s="7"/>
      <c r="H36" s="7"/>
      <c r="I36" s="7"/>
      <c r="J36" s="7"/>
      <c r="K36" s="7"/>
    </row>
    <row r="37" spans="1:16" x14ac:dyDescent="0.25">
      <c r="A37" s="132" t="s">
        <v>18</v>
      </c>
      <c r="B37" s="133"/>
      <c r="C37" s="134"/>
      <c r="D37" s="135">
        <f t="shared" ref="D37:K37" si="9">D38+D39</f>
        <v>3690707</v>
      </c>
      <c r="E37" s="135">
        <f t="shared" si="9"/>
        <v>3828918.1276441435</v>
      </c>
      <c r="F37" s="135">
        <f t="shared" si="9"/>
        <v>4011201.1276441435</v>
      </c>
      <c r="G37" s="135">
        <f t="shared" si="9"/>
        <v>4121049</v>
      </c>
      <c r="H37" s="135">
        <f t="shared" si="9"/>
        <v>4265025.9999999981</v>
      </c>
      <c r="I37" s="135">
        <f t="shared" si="9"/>
        <v>4378973</v>
      </c>
      <c r="J37" s="135">
        <f t="shared" si="9"/>
        <v>4502950</v>
      </c>
      <c r="K37" s="135">
        <f t="shared" si="9"/>
        <v>4590707</v>
      </c>
      <c r="M37" s="60"/>
    </row>
    <row r="38" spans="1:16" x14ac:dyDescent="0.25">
      <c r="A38" s="77" t="s">
        <v>155</v>
      </c>
      <c r="B38" s="54"/>
      <c r="C38" s="56"/>
      <c r="D38" s="7">
        <v>2980801</v>
      </c>
      <c r="E38" s="7">
        <v>3129973.1276441435</v>
      </c>
      <c r="F38" s="7">
        <v>3235458.1276441435</v>
      </c>
      <c r="G38" s="7">
        <v>3344595</v>
      </c>
      <c r="H38" s="7">
        <v>3465493.9999999981</v>
      </c>
      <c r="I38" s="7">
        <v>3566225</v>
      </c>
      <c r="J38" s="7">
        <v>3650686</v>
      </c>
      <c r="K38" s="7">
        <v>3735715</v>
      </c>
      <c r="L38" s="60"/>
      <c r="M38" s="60"/>
      <c r="N38" s="105"/>
      <c r="O38" s="60"/>
      <c r="P38" s="60"/>
    </row>
    <row r="39" spans="1:16" x14ac:dyDescent="0.25">
      <c r="A39" s="12" t="s">
        <v>76</v>
      </c>
      <c r="B39" s="54"/>
      <c r="C39" s="56"/>
      <c r="D39" s="7">
        <v>709906</v>
      </c>
      <c r="E39" s="7">
        <v>698945</v>
      </c>
      <c r="F39" s="7">
        <v>775743</v>
      </c>
      <c r="G39" s="7">
        <v>776454</v>
      </c>
      <c r="H39" s="7">
        <v>799531.99999999988</v>
      </c>
      <c r="I39" s="7">
        <v>812748</v>
      </c>
      <c r="J39" s="7">
        <v>852264</v>
      </c>
      <c r="K39" s="7">
        <v>854992</v>
      </c>
    </row>
    <row r="40" spans="1:16" x14ac:dyDescent="0.25">
      <c r="A40" s="78"/>
      <c r="B40" s="79"/>
      <c r="C40" s="51"/>
      <c r="D40" s="40">
        <v>2012</v>
      </c>
      <c r="E40" s="40">
        <v>2013</v>
      </c>
      <c r="F40" s="40">
        <v>2014</v>
      </c>
      <c r="G40" s="40">
        <v>2015</v>
      </c>
      <c r="H40" s="40">
        <v>2016</v>
      </c>
      <c r="I40" s="40" t="s">
        <v>52</v>
      </c>
      <c r="J40" s="40" t="s">
        <v>229</v>
      </c>
      <c r="K40" s="40" t="s">
        <v>260</v>
      </c>
    </row>
    <row r="41" spans="1:16" x14ac:dyDescent="0.25">
      <c r="A41" s="132" t="s">
        <v>19</v>
      </c>
      <c r="B41" s="133"/>
      <c r="C41" s="134"/>
      <c r="D41" s="135">
        <f t="shared" ref="D41:J41" si="10">SUM(D42:D46)</f>
        <v>3690707</v>
      </c>
      <c r="E41" s="135">
        <f t="shared" si="10"/>
        <v>3828918.1276441435</v>
      </c>
      <c r="F41" s="135">
        <f t="shared" si="10"/>
        <v>4011201.127644144</v>
      </c>
      <c r="G41" s="135">
        <f t="shared" si="10"/>
        <v>4121049</v>
      </c>
      <c r="H41" s="135">
        <f t="shared" si="10"/>
        <v>4270309</v>
      </c>
      <c r="I41" s="135">
        <f t="shared" si="10"/>
        <v>4378973</v>
      </c>
      <c r="J41" s="135">
        <f t="shared" si="10"/>
        <v>4502950.4081960283</v>
      </c>
      <c r="K41" s="135">
        <f>SUM(K42:K47)</f>
        <v>4590707</v>
      </c>
      <c r="M41" s="60"/>
    </row>
    <row r="42" spans="1:16" x14ac:dyDescent="0.25">
      <c r="A42" s="77" t="s">
        <v>156</v>
      </c>
      <c r="B42" s="54"/>
      <c r="C42" s="56"/>
      <c r="D42" s="7">
        <v>39788</v>
      </c>
      <c r="E42" s="7">
        <v>30088</v>
      </c>
      <c r="F42" s="7">
        <v>26608</v>
      </c>
      <c r="G42" s="7">
        <v>19945</v>
      </c>
      <c r="H42" s="7">
        <v>12496</v>
      </c>
      <c r="I42" s="7">
        <v>3521.3429629427901</v>
      </c>
      <c r="J42" s="7">
        <v>5051.6055513878473</v>
      </c>
      <c r="K42" s="7">
        <v>9554.8420929003496</v>
      </c>
    </row>
    <row r="43" spans="1:16" x14ac:dyDescent="0.25">
      <c r="A43" s="12" t="s">
        <v>157</v>
      </c>
      <c r="B43" s="54"/>
      <c r="C43" s="56"/>
      <c r="D43" s="7">
        <v>747264</v>
      </c>
      <c r="E43" s="7">
        <v>591343</v>
      </c>
      <c r="F43" s="7">
        <v>484399.06</v>
      </c>
      <c r="G43" s="7">
        <v>381862</v>
      </c>
      <c r="H43" s="7">
        <v>339462.92079042766</v>
      </c>
      <c r="I43" s="7">
        <v>200742.37589816141</v>
      </c>
      <c r="J43" s="7">
        <v>140982.29177148989</v>
      </c>
      <c r="K43" s="7">
        <v>72455.100536277925</v>
      </c>
    </row>
    <row r="44" spans="1:16" x14ac:dyDescent="0.25">
      <c r="A44" s="12" t="s">
        <v>158</v>
      </c>
      <c r="B44" s="54"/>
      <c r="C44" s="56"/>
      <c r="D44" s="7">
        <v>749245</v>
      </c>
      <c r="E44" s="7">
        <v>684628.12764414353</v>
      </c>
      <c r="F44" s="7">
        <v>514814.92764414358</v>
      </c>
      <c r="G44" s="7">
        <v>439867</v>
      </c>
      <c r="H44" s="7">
        <v>469267.98471873795</v>
      </c>
      <c r="I44" s="7">
        <v>341951.95126258529</v>
      </c>
      <c r="J44" s="7">
        <v>312146.51087314996</v>
      </c>
      <c r="K44" s="7">
        <v>117477.14848831958</v>
      </c>
    </row>
    <row r="45" spans="1:16" x14ac:dyDescent="0.25">
      <c r="A45" s="12" t="s">
        <v>159</v>
      </c>
      <c r="B45" s="54"/>
      <c r="C45" s="56"/>
      <c r="D45" s="7">
        <v>1703953</v>
      </c>
      <c r="E45" s="7">
        <v>2053835</v>
      </c>
      <c r="F45" s="7">
        <v>2424175.14</v>
      </c>
      <c r="G45" s="7">
        <v>2083875</v>
      </c>
      <c r="H45" s="7">
        <v>1388824.1218860173</v>
      </c>
      <c r="I45" s="7">
        <v>1542253.637316148</v>
      </c>
      <c r="J45" s="7">
        <v>1584088</v>
      </c>
      <c r="K45" s="7">
        <v>1500175.3721358329</v>
      </c>
      <c r="L45" s="32"/>
      <c r="M45" s="32"/>
      <c r="N45" s="32"/>
    </row>
    <row r="46" spans="1:16" x14ac:dyDescent="0.25">
      <c r="A46" s="12" t="s">
        <v>267</v>
      </c>
      <c r="B46" s="54"/>
      <c r="C46" s="56"/>
      <c r="D46" s="7">
        <v>450457</v>
      </c>
      <c r="E46" s="7">
        <v>469024</v>
      </c>
      <c r="F46" s="7">
        <v>561204</v>
      </c>
      <c r="G46" s="7">
        <v>1195500</v>
      </c>
      <c r="H46" s="7">
        <v>2060257.972604817</v>
      </c>
      <c r="I46" s="7">
        <v>2290503.6925601629</v>
      </c>
      <c r="J46" s="7">
        <v>2460682</v>
      </c>
      <c r="K46" s="7">
        <v>2890783.5367466691</v>
      </c>
      <c r="L46" s="32"/>
      <c r="M46" s="32"/>
      <c r="N46" s="32"/>
      <c r="O46" s="32"/>
    </row>
    <row r="47" spans="1:16" x14ac:dyDescent="0.25">
      <c r="A47" s="12" t="s">
        <v>266</v>
      </c>
      <c r="B47" s="54"/>
      <c r="C47" s="56"/>
      <c r="D47" s="7"/>
      <c r="E47" s="7"/>
      <c r="F47" s="7"/>
      <c r="G47" s="7"/>
      <c r="H47" s="7"/>
      <c r="I47" s="7"/>
      <c r="J47" s="7"/>
      <c r="K47" s="7">
        <v>261</v>
      </c>
      <c r="L47" s="32"/>
      <c r="M47" s="32"/>
      <c r="N47" s="32"/>
      <c r="O47" s="32"/>
    </row>
    <row r="48" spans="1:16" x14ac:dyDescent="0.25">
      <c r="A48" s="78"/>
      <c r="B48" s="79"/>
      <c r="C48" s="51"/>
      <c r="D48" s="11"/>
      <c r="E48" s="11"/>
      <c r="F48" s="11"/>
      <c r="G48" s="11"/>
      <c r="H48" s="11"/>
      <c r="I48" s="11"/>
      <c r="J48" s="11"/>
      <c r="K48" s="11"/>
    </row>
    <row r="49" spans="1:15" x14ac:dyDescent="0.25">
      <c r="A49" s="132" t="s">
        <v>20</v>
      </c>
      <c r="B49" s="133"/>
      <c r="C49" s="134"/>
      <c r="D49" s="135">
        <f t="shared" ref="D49:K49" si="11">SUM(D50:D55)</f>
        <v>3690707</v>
      </c>
      <c r="E49" s="135">
        <f t="shared" si="11"/>
        <v>3828918.1276441435</v>
      </c>
      <c r="F49" s="135">
        <f t="shared" si="11"/>
        <v>4011201.1276441435</v>
      </c>
      <c r="G49" s="135">
        <f t="shared" si="11"/>
        <v>4121049</v>
      </c>
      <c r="H49" s="135">
        <f t="shared" si="11"/>
        <v>4270309</v>
      </c>
      <c r="I49" s="135">
        <f t="shared" si="11"/>
        <v>4378973</v>
      </c>
      <c r="J49" s="135">
        <f t="shared" si="11"/>
        <v>4502950.4081960283</v>
      </c>
      <c r="K49" s="135">
        <f t="shared" si="11"/>
        <v>4590707</v>
      </c>
      <c r="L49" s="32"/>
    </row>
    <row r="50" spans="1:15" x14ac:dyDescent="0.25">
      <c r="A50" s="77" t="s">
        <v>160</v>
      </c>
      <c r="B50" s="54"/>
      <c r="C50" s="56"/>
      <c r="D50" s="7">
        <v>814475.11157892202</v>
      </c>
      <c r="E50" s="7">
        <v>606051</v>
      </c>
      <c r="F50" s="7">
        <v>456176</v>
      </c>
      <c r="G50" s="7">
        <v>325515</v>
      </c>
      <c r="H50" s="7">
        <v>267275.33067236003</v>
      </c>
      <c r="I50" s="7">
        <v>173380.00000000009</v>
      </c>
      <c r="J50" s="7">
        <v>117040.00000000001</v>
      </c>
      <c r="K50" s="7">
        <v>75732.000000000058</v>
      </c>
    </row>
    <row r="51" spans="1:15" x14ac:dyDescent="0.25">
      <c r="A51" s="12" t="s">
        <v>161</v>
      </c>
      <c r="B51" s="54"/>
      <c r="C51" s="56"/>
      <c r="D51" s="7">
        <v>1060852.888421078</v>
      </c>
      <c r="E51" s="7">
        <v>1256798.1276441435</v>
      </c>
      <c r="F51" s="7">
        <v>1488810.1276441435</v>
      </c>
      <c r="G51" s="7">
        <v>1680315</v>
      </c>
      <c r="H51" s="7">
        <v>1799190.6693276397</v>
      </c>
      <c r="I51" s="7">
        <v>1906128.0000000005</v>
      </c>
      <c r="J51" s="7">
        <v>2009139.4081960276</v>
      </c>
      <c r="K51" s="7">
        <v>2047399</v>
      </c>
    </row>
    <row r="52" spans="1:15" x14ac:dyDescent="0.25">
      <c r="A52" s="12" t="s">
        <v>162</v>
      </c>
      <c r="B52" s="54"/>
      <c r="C52" s="56"/>
      <c r="D52" s="7">
        <v>886592</v>
      </c>
      <c r="E52" s="7">
        <v>550417</v>
      </c>
      <c r="F52" s="7">
        <v>337381</v>
      </c>
      <c r="G52" s="7">
        <v>215719</v>
      </c>
      <c r="H52" s="7">
        <v>144152</v>
      </c>
      <c r="I52" s="7">
        <v>85443</v>
      </c>
      <c r="J52" s="7">
        <v>51071</v>
      </c>
      <c r="K52" s="7">
        <v>37905</v>
      </c>
      <c r="L52" s="2"/>
      <c r="M52" s="2"/>
      <c r="O52" s="2"/>
    </row>
    <row r="53" spans="1:15" x14ac:dyDescent="0.25">
      <c r="A53" s="12" t="s">
        <v>163</v>
      </c>
      <c r="B53" s="54"/>
      <c r="C53" s="56"/>
      <c r="D53" s="7">
        <v>911297</v>
      </c>
      <c r="E53" s="7">
        <v>1400592</v>
      </c>
      <c r="F53" s="7">
        <v>1714679</v>
      </c>
      <c r="G53" s="7">
        <v>1884007</v>
      </c>
      <c r="H53" s="7">
        <v>2041111</v>
      </c>
      <c r="I53" s="7">
        <v>2190395</v>
      </c>
      <c r="J53" s="7">
        <v>2288769</v>
      </c>
      <c r="K53" s="7">
        <v>2368810</v>
      </c>
    </row>
    <row r="54" spans="1:15" x14ac:dyDescent="0.25">
      <c r="A54" s="12" t="s">
        <v>164</v>
      </c>
      <c r="B54" s="54"/>
      <c r="C54" s="56"/>
      <c r="D54" s="7">
        <v>2738</v>
      </c>
      <c r="E54" s="7">
        <v>2708</v>
      </c>
      <c r="F54" s="7">
        <v>6735</v>
      </c>
      <c r="G54" s="7">
        <v>8845</v>
      </c>
      <c r="H54" s="7">
        <v>12753</v>
      </c>
      <c r="I54" s="7">
        <v>17341</v>
      </c>
      <c r="J54" s="7">
        <v>32464</v>
      </c>
      <c r="K54" s="7">
        <v>47868</v>
      </c>
      <c r="L54" s="2"/>
    </row>
    <row r="55" spans="1:15" x14ac:dyDescent="0.25">
      <c r="A55" s="12" t="s">
        <v>165</v>
      </c>
      <c r="B55" s="54"/>
      <c r="C55" s="56"/>
      <c r="D55" s="7">
        <v>14752.000000000233</v>
      </c>
      <c r="E55" s="7">
        <v>12352</v>
      </c>
      <c r="F55" s="7">
        <v>7420</v>
      </c>
      <c r="G55" s="7">
        <v>6648</v>
      </c>
      <c r="H55" s="7">
        <v>5827</v>
      </c>
      <c r="I55" s="7">
        <v>6286</v>
      </c>
      <c r="J55" s="7">
        <v>4467</v>
      </c>
      <c r="K55" s="7">
        <v>12993</v>
      </c>
    </row>
  </sheetData>
  <hyperlinks>
    <hyperlink ref="A1" location="Inhoudstafel!A1" display="Naar inhoudstafel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1:K1" numberStoredAsText="1"/>
    <ignoredError sqref="D9:I9 J9:K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2A8E0"/>
  </sheetPr>
  <dimension ref="A1:P152"/>
  <sheetViews>
    <sheetView showGridLines="0" topLeftCell="B25" zoomScale="75" zoomScaleNormal="75" workbookViewId="0">
      <selection activeCell="K52" sqref="K52"/>
    </sheetView>
  </sheetViews>
  <sheetFormatPr defaultRowHeight="15" x14ac:dyDescent="0.25"/>
  <cols>
    <col min="1" max="1" width="24.140625" customWidth="1"/>
    <col min="2" max="2" width="72.140625" customWidth="1"/>
    <col min="3" max="3" width="21.140625" bestFit="1" customWidth="1"/>
    <col min="4" max="4" width="17" customWidth="1"/>
    <col min="5" max="5" width="18" bestFit="1" customWidth="1"/>
    <col min="6" max="6" width="18.42578125" bestFit="1" customWidth="1"/>
    <col min="7" max="8" width="18.85546875" bestFit="1" customWidth="1"/>
    <col min="9" max="10" width="19.7109375" bestFit="1" customWidth="1"/>
    <col min="11" max="11" width="20.28515625" bestFit="1" customWidth="1"/>
    <col min="12" max="13" width="16.85546875" bestFit="1" customWidth="1"/>
    <col min="14" max="14" width="12.7109375" bestFit="1" customWidth="1"/>
    <col min="15" max="15" width="11.5703125" bestFit="1" customWidth="1"/>
    <col min="16" max="16" width="2.42578125" bestFit="1" customWidth="1"/>
  </cols>
  <sheetData>
    <row r="1" spans="1:11" s="72" customFormat="1" ht="29.25" customHeight="1" x14ac:dyDescent="0.3">
      <c r="A1" s="115" t="s">
        <v>212</v>
      </c>
      <c r="B1" s="74"/>
      <c r="D1" s="70">
        <v>2012</v>
      </c>
      <c r="E1" s="70">
        <v>2013</v>
      </c>
      <c r="F1" s="70">
        <v>2014</v>
      </c>
      <c r="G1" s="70">
        <v>2015</v>
      </c>
      <c r="H1" s="70">
        <v>2016</v>
      </c>
      <c r="I1" s="70" t="s">
        <v>52</v>
      </c>
      <c r="J1" s="70" t="s">
        <v>229</v>
      </c>
      <c r="K1" s="70" t="s">
        <v>260</v>
      </c>
    </row>
    <row r="2" spans="1:11" ht="12" customHeight="1" x14ac:dyDescent="0.3">
      <c r="A2" s="74"/>
      <c r="B2" s="74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135" t="s">
        <v>189</v>
      </c>
      <c r="B3" s="135"/>
      <c r="C3" s="149" t="s">
        <v>22</v>
      </c>
      <c r="D3" s="135">
        <v>4016152.4992681751</v>
      </c>
      <c r="E3" s="135">
        <f>SUM(E4:E16)</f>
        <v>3730108.0548904478</v>
      </c>
      <c r="F3" s="135">
        <f>SUM(F4:F16)</f>
        <v>3553593.7591712978</v>
      </c>
      <c r="G3" s="135">
        <f>SUM(G4:G16)</f>
        <v>3644519.7838427718</v>
      </c>
      <c r="H3" s="135">
        <f>H4+H7+H8+H9+H10+H13+H14+H15+H16</f>
        <v>3641111.6450200006</v>
      </c>
      <c r="I3" s="135">
        <f>I4+I7+I8+I9+I10+I13+I14+I15+I16</f>
        <v>3587870.7603600002</v>
      </c>
      <c r="J3" s="135">
        <f>J4+J7+J8+J9+J10+J13+J14+J15+J16</f>
        <v>3539367.99872</v>
      </c>
      <c r="K3" s="135">
        <f>K4+K7+K8+K9+K10+K13+K14+K15+K16</f>
        <v>3459995.3517699991</v>
      </c>
    </row>
    <row r="4" spans="1:11" x14ac:dyDescent="0.25">
      <c r="A4" s="26" t="s">
        <v>23</v>
      </c>
      <c r="B4" s="26"/>
      <c r="C4" s="16"/>
      <c r="D4" s="7">
        <v>2288600.4995811814</v>
      </c>
      <c r="E4" s="7">
        <v>2026024.9419821596</v>
      </c>
      <c r="F4" s="7">
        <v>1926076.7606219398</v>
      </c>
      <c r="G4" s="7">
        <v>1983141.7889522</v>
      </c>
      <c r="H4" s="7">
        <v>2057516.4176</v>
      </c>
      <c r="I4" s="7">
        <v>2064134.6257199999</v>
      </c>
      <c r="J4" s="7">
        <v>2033062.7631500002</v>
      </c>
      <c r="K4" s="7">
        <v>2049930.5010731129</v>
      </c>
    </row>
    <row r="5" spans="1:11" x14ac:dyDescent="0.25">
      <c r="A5" s="26" t="s">
        <v>168</v>
      </c>
      <c r="B5" s="26"/>
      <c r="C5" s="16"/>
      <c r="D5" s="7"/>
      <c r="E5" s="7"/>
      <c r="F5" s="7"/>
      <c r="G5" s="7"/>
      <c r="H5" s="7">
        <v>1354943.8156599998</v>
      </c>
      <c r="I5" s="7">
        <v>1368402.94358</v>
      </c>
      <c r="J5" s="7">
        <v>1309953.2812600003</v>
      </c>
      <c r="K5" s="7">
        <v>1314973.8001068449</v>
      </c>
    </row>
    <row r="6" spans="1:11" x14ac:dyDescent="0.25">
      <c r="A6" s="26" t="s">
        <v>169</v>
      </c>
      <c r="B6" s="26"/>
      <c r="C6" s="16"/>
      <c r="D6" s="7"/>
      <c r="E6" s="7"/>
      <c r="F6" s="7"/>
      <c r="G6" s="7"/>
      <c r="H6" s="7">
        <v>702572.60193999996</v>
      </c>
      <c r="I6" s="7">
        <v>695731.68213999993</v>
      </c>
      <c r="J6" s="7">
        <v>723109.48189000005</v>
      </c>
      <c r="K6" s="7">
        <v>734956.70096626808</v>
      </c>
    </row>
    <row r="7" spans="1:11" x14ac:dyDescent="0.25">
      <c r="A7" s="26" t="s">
        <v>24</v>
      </c>
      <c r="B7" s="26"/>
      <c r="C7" s="16"/>
      <c r="D7" s="7"/>
      <c r="E7" s="7"/>
      <c r="F7" s="7">
        <v>26699.030340000001</v>
      </c>
      <c r="G7" s="7">
        <v>25157.6014</v>
      </c>
      <c r="H7" s="7">
        <v>28011.994789999997</v>
      </c>
      <c r="I7" s="7">
        <v>29558.080890000001</v>
      </c>
      <c r="J7" s="7">
        <v>31218.34518</v>
      </c>
      <c r="K7" s="7">
        <v>35079.101609999998</v>
      </c>
    </row>
    <row r="8" spans="1:11" x14ac:dyDescent="0.25">
      <c r="A8" s="26" t="s">
        <v>25</v>
      </c>
      <c r="B8" s="26"/>
      <c r="C8" s="16"/>
      <c r="D8" s="7">
        <v>77993.351733863587</v>
      </c>
      <c r="E8" s="7">
        <v>119157.01708781511</v>
      </c>
      <c r="F8" s="7">
        <v>135776.89917165</v>
      </c>
      <c r="G8" s="7">
        <v>133126.73414439999</v>
      </c>
      <c r="H8" s="7">
        <v>136787.7085752</v>
      </c>
      <c r="I8" s="7">
        <v>136672.39173</v>
      </c>
      <c r="J8" s="7">
        <v>138240.55797999998</v>
      </c>
      <c r="K8" s="7">
        <v>77289.895350000006</v>
      </c>
    </row>
    <row r="9" spans="1:11" x14ac:dyDescent="0.25">
      <c r="A9" s="26" t="s">
        <v>26</v>
      </c>
      <c r="B9" s="26"/>
      <c r="C9" s="16"/>
      <c r="D9" s="7"/>
      <c r="E9" s="7"/>
      <c r="F9" s="7">
        <v>326352.41921000002</v>
      </c>
      <c r="G9" s="7">
        <v>370280.33556000021</v>
      </c>
      <c r="H9" s="7">
        <v>381693.66856999998</v>
      </c>
      <c r="I9" s="7">
        <v>400143.80007000006</v>
      </c>
      <c r="J9" s="7">
        <v>451431.73696999997</v>
      </c>
      <c r="K9" s="7">
        <v>459378.45371000003</v>
      </c>
    </row>
    <row r="10" spans="1:11" x14ac:dyDescent="0.25">
      <c r="A10" s="26" t="s">
        <v>27</v>
      </c>
      <c r="B10" s="26"/>
      <c r="C10" s="16"/>
      <c r="D10" s="7">
        <v>339150.61968999996</v>
      </c>
      <c r="E10" s="7">
        <v>305218.45059129898</v>
      </c>
      <c r="F10" s="7">
        <v>295088.68017950602</v>
      </c>
      <c r="G10" s="7">
        <v>297565.21789870004</v>
      </c>
      <c r="H10" s="7">
        <v>232093.59064000001</v>
      </c>
      <c r="I10" s="7">
        <f>I11+I12</f>
        <v>198936.6942</v>
      </c>
      <c r="J10" s="7">
        <v>137728.61161000002</v>
      </c>
      <c r="K10" s="7">
        <v>120115.53499688662</v>
      </c>
    </row>
    <row r="11" spans="1:11" x14ac:dyDescent="0.25">
      <c r="A11" s="26" t="s">
        <v>168</v>
      </c>
      <c r="B11" s="26"/>
      <c r="C11" s="16"/>
      <c r="D11" s="7"/>
      <c r="E11" s="7"/>
      <c r="F11" s="7"/>
      <c r="G11" s="7"/>
      <c r="H11" s="7">
        <v>67647.441120000003</v>
      </c>
      <c r="I11" s="7">
        <v>59083.318440000003</v>
      </c>
      <c r="J11" s="7">
        <v>41685.558029999993</v>
      </c>
      <c r="K11" s="7">
        <v>36597.952673154527</v>
      </c>
    </row>
    <row r="12" spans="1:11" x14ac:dyDescent="0.25">
      <c r="A12" s="26" t="s">
        <v>169</v>
      </c>
      <c r="B12" s="26"/>
      <c r="C12" s="16"/>
      <c r="D12" s="7"/>
      <c r="E12" s="7"/>
      <c r="F12" s="7"/>
      <c r="G12" s="7"/>
      <c r="H12" s="7">
        <v>164446.14951999998</v>
      </c>
      <c r="I12" s="7">
        <v>139853.37576</v>
      </c>
      <c r="J12" s="7">
        <v>96043.053580000007</v>
      </c>
      <c r="K12" s="7">
        <v>83517.582323732087</v>
      </c>
    </row>
    <row r="13" spans="1:11" x14ac:dyDescent="0.25">
      <c r="A13" s="26" t="s">
        <v>28</v>
      </c>
      <c r="B13" s="26"/>
      <c r="C13" s="16"/>
      <c r="D13" s="7">
        <v>119245.87433000001</v>
      </c>
      <c r="E13" s="7">
        <v>88044.795010000002</v>
      </c>
      <c r="F13" s="7">
        <v>66942.420689999999</v>
      </c>
      <c r="G13" s="7">
        <v>68503.889950000012</v>
      </c>
      <c r="H13" s="7">
        <v>80762.719730000012</v>
      </c>
      <c r="I13" s="7">
        <v>113683.08038999993</v>
      </c>
      <c r="J13" s="7">
        <v>133796.49677999996</v>
      </c>
      <c r="K13" s="7">
        <v>147656.42272999993</v>
      </c>
    </row>
    <row r="14" spans="1:11" x14ac:dyDescent="0.25">
      <c r="A14" s="26" t="s">
        <v>59</v>
      </c>
      <c r="B14" s="26"/>
      <c r="C14" s="16"/>
      <c r="D14" s="7">
        <v>212031.42609999998</v>
      </c>
      <c r="E14" s="7">
        <v>116009.3649312521</v>
      </c>
      <c r="F14" s="7">
        <v>115816.3832752781</v>
      </c>
      <c r="G14" s="7">
        <v>116530.33369217167</v>
      </c>
      <c r="H14" s="7">
        <v>115802.64276</v>
      </c>
      <c r="I14" s="7">
        <v>98821.315503968202</v>
      </c>
      <c r="J14" s="7">
        <v>100166.40996</v>
      </c>
      <c r="K14" s="7">
        <v>109183.34354999999</v>
      </c>
    </row>
    <row r="15" spans="1:11" x14ac:dyDescent="0.25">
      <c r="A15" s="26" t="s">
        <v>29</v>
      </c>
      <c r="B15" s="26"/>
      <c r="C15" s="16"/>
      <c r="D15" s="7">
        <v>546455.92015613604</v>
      </c>
      <c r="E15" s="7">
        <v>610045.07732279995</v>
      </c>
      <c r="F15" s="7">
        <v>600135.559322924</v>
      </c>
      <c r="G15" s="7">
        <v>609422.41706012632</v>
      </c>
      <c r="H15" s="7">
        <v>582133.00635479996</v>
      </c>
      <c r="I15" s="7">
        <v>527233.40485603199</v>
      </c>
      <c r="J15" s="7">
        <v>505649.45509</v>
      </c>
      <c r="K15" s="7">
        <v>455779.96474999998</v>
      </c>
    </row>
    <row r="16" spans="1:11" x14ac:dyDescent="0.25">
      <c r="A16" s="26" t="s">
        <v>21</v>
      </c>
      <c r="B16" s="26"/>
      <c r="C16" s="16"/>
      <c r="D16" s="7">
        <v>432574.80767699413</v>
      </c>
      <c r="E16" s="7">
        <v>465608.40796512208</v>
      </c>
      <c r="F16" s="7">
        <v>60705.606359999896</v>
      </c>
      <c r="G16" s="7">
        <v>40791.465185173096</v>
      </c>
      <c r="H16" s="7">
        <v>26309.896000000001</v>
      </c>
      <c r="I16" s="7">
        <v>18687.366999999998</v>
      </c>
      <c r="J16" s="7">
        <v>8073.6220000000003</v>
      </c>
      <c r="K16" s="7">
        <v>5582.134</v>
      </c>
    </row>
    <row r="17" spans="1:15" x14ac:dyDescent="0.25">
      <c r="A17" s="35"/>
      <c r="B17" s="35"/>
      <c r="C17" s="36"/>
      <c r="D17" s="28"/>
      <c r="E17" s="28"/>
      <c r="F17" s="28"/>
      <c r="G17" s="28"/>
      <c r="H17" s="28"/>
      <c r="I17" s="27"/>
      <c r="J17" s="27"/>
      <c r="K17" s="27"/>
    </row>
    <row r="18" spans="1:15" ht="29.25" customHeight="1" x14ac:dyDescent="0.25">
      <c r="A18" s="179" t="s">
        <v>190</v>
      </c>
      <c r="B18" s="180"/>
      <c r="C18" s="149" t="s">
        <v>69</v>
      </c>
      <c r="D18" s="135"/>
      <c r="E18" s="150">
        <f t="shared" ref="E18:K18" si="0">((E4+E10)*1000)/E22/12</f>
        <v>17.698320055729582</v>
      </c>
      <c r="F18" s="150">
        <f t="shared" si="0"/>
        <v>16.829061413576056</v>
      </c>
      <c r="G18" s="150">
        <f t="shared" si="0"/>
        <v>17.23172690681351</v>
      </c>
      <c r="H18" s="150">
        <f t="shared" si="0"/>
        <v>17.412079332663986</v>
      </c>
      <c r="I18" s="150">
        <f t="shared" si="0"/>
        <v>17.661763858717332</v>
      </c>
      <c r="J18" s="150">
        <f t="shared" si="0"/>
        <v>17.28138400935434</v>
      </c>
      <c r="K18" s="150">
        <f t="shared" si="0"/>
        <v>17.273362224846544</v>
      </c>
    </row>
    <row r="19" spans="1:15" x14ac:dyDescent="0.25">
      <c r="A19" s="12" t="s">
        <v>173</v>
      </c>
      <c r="B19" s="12"/>
      <c r="C19" s="16"/>
      <c r="D19" s="8">
        <v>10962216.56966017</v>
      </c>
      <c r="E19" s="8">
        <v>10991311.4604268</v>
      </c>
      <c r="F19" s="8">
        <v>11006008</v>
      </c>
      <c r="G19" s="8">
        <v>11053176</v>
      </c>
      <c r="H19" s="8">
        <v>10862740</v>
      </c>
      <c r="I19" s="7">
        <v>10492916</v>
      </c>
      <c r="J19" s="7">
        <f>J20+J21</f>
        <v>10442824</v>
      </c>
      <c r="K19" s="7">
        <v>10495447</v>
      </c>
    </row>
    <row r="20" spans="1:15" x14ac:dyDescent="0.25">
      <c r="A20" s="12" t="s">
        <v>168</v>
      </c>
      <c r="B20" s="12"/>
      <c r="C20" s="16"/>
      <c r="D20" s="8"/>
      <c r="E20" s="8"/>
      <c r="F20" s="8"/>
      <c r="G20" s="8">
        <v>8422376</v>
      </c>
      <c r="H20" s="8">
        <v>8207372</v>
      </c>
      <c r="I20" s="7">
        <v>7625190</v>
      </c>
      <c r="J20" s="7">
        <v>7493694</v>
      </c>
      <c r="K20" s="7">
        <v>7506366</v>
      </c>
      <c r="L20" s="2"/>
    </row>
    <row r="21" spans="1:15" x14ac:dyDescent="0.25">
      <c r="A21" s="12" t="s">
        <v>169</v>
      </c>
      <c r="B21" s="12"/>
      <c r="C21" s="16"/>
      <c r="D21" s="8"/>
      <c r="E21" s="8"/>
      <c r="F21" s="8"/>
      <c r="G21" s="8">
        <v>2630800</v>
      </c>
      <c r="H21" s="8">
        <v>2655368</v>
      </c>
      <c r="I21" s="7">
        <v>2867726</v>
      </c>
      <c r="J21" s="7">
        <v>2949130</v>
      </c>
      <c r="K21" s="7">
        <v>2989081</v>
      </c>
    </row>
    <row r="22" spans="1:15" x14ac:dyDescent="0.25">
      <c r="A22" s="12" t="s">
        <v>67</v>
      </c>
      <c r="B22" s="12"/>
      <c r="C22" s="16"/>
      <c r="D22" s="8"/>
      <c r="E22" s="8">
        <f>(D19+E19)/2</f>
        <v>10976764.015043486</v>
      </c>
      <c r="F22" s="8">
        <f>(E19+F19)/2</f>
        <v>10998659.7302134</v>
      </c>
      <c r="G22" s="8">
        <f>(F19+G19)/2</f>
        <v>11029592</v>
      </c>
      <c r="H22" s="8">
        <f t="shared" ref="H22:J24" si="1">(G19+H19)/2</f>
        <v>10957958</v>
      </c>
      <c r="I22" s="8">
        <f t="shared" si="1"/>
        <v>10677828</v>
      </c>
      <c r="J22" s="8">
        <f t="shared" si="1"/>
        <v>10467870</v>
      </c>
      <c r="K22" s="8">
        <v>10469135.5</v>
      </c>
    </row>
    <row r="23" spans="1:15" x14ac:dyDescent="0.25">
      <c r="A23" s="12" t="s">
        <v>168</v>
      </c>
      <c r="B23" s="77"/>
      <c r="C23" s="47"/>
      <c r="D23" s="8"/>
      <c r="E23" s="8"/>
      <c r="F23" s="8"/>
      <c r="G23" s="8"/>
      <c r="H23" s="8">
        <f t="shared" si="1"/>
        <v>8314874</v>
      </c>
      <c r="I23" s="8">
        <f t="shared" si="1"/>
        <v>7916281</v>
      </c>
      <c r="J23" s="8">
        <f t="shared" si="1"/>
        <v>7559442</v>
      </c>
      <c r="K23" s="8">
        <v>7500030</v>
      </c>
    </row>
    <row r="24" spans="1:15" x14ac:dyDescent="0.25">
      <c r="A24" s="12" t="s">
        <v>169</v>
      </c>
      <c r="B24" s="48"/>
      <c r="C24" s="47"/>
      <c r="D24" s="8"/>
      <c r="E24" s="8"/>
      <c r="F24" s="8"/>
      <c r="G24" s="8"/>
      <c r="H24" s="8">
        <f t="shared" si="1"/>
        <v>2643084</v>
      </c>
      <c r="I24" s="8">
        <f t="shared" si="1"/>
        <v>2761547</v>
      </c>
      <c r="J24" s="8">
        <f t="shared" si="1"/>
        <v>2908428</v>
      </c>
      <c r="K24" s="8">
        <v>2969105.5</v>
      </c>
    </row>
    <row r="25" spans="1:15" x14ac:dyDescent="0.25">
      <c r="A25" s="47" t="s">
        <v>172</v>
      </c>
      <c r="B25" s="47"/>
      <c r="C25" s="47"/>
      <c r="D25" s="8"/>
      <c r="E25" s="8"/>
      <c r="F25" s="8"/>
      <c r="G25" s="8"/>
      <c r="H25" s="49">
        <f t="shared" ref="H25:J26" si="2">((H5+H11)*1000)/H23/12</f>
        <v>14.257494629303261</v>
      </c>
      <c r="I25" s="49">
        <f t="shared" si="2"/>
        <v>15.026903226611923</v>
      </c>
      <c r="J25" s="49">
        <f t="shared" si="2"/>
        <v>14.90011695847833</v>
      </c>
      <c r="K25" s="49">
        <f t="shared" ref="K25" si="3">((K5+K11)*1000)/K23/12</f>
        <v>15.017403850162369</v>
      </c>
    </row>
    <row r="26" spans="1:15" x14ac:dyDescent="0.25">
      <c r="A26" s="95" t="s">
        <v>170</v>
      </c>
      <c r="B26" s="94"/>
      <c r="C26" s="47"/>
      <c r="D26" s="8"/>
      <c r="E26" s="8"/>
      <c r="F26" s="8"/>
      <c r="G26" s="8"/>
      <c r="H26" s="49">
        <f t="shared" si="2"/>
        <v>27.336082629862187</v>
      </c>
      <c r="I26" s="49">
        <f t="shared" si="2"/>
        <v>25.214884323291738</v>
      </c>
      <c r="J26" s="49">
        <f t="shared" si="2"/>
        <v>23.470655381246043</v>
      </c>
      <c r="K26" s="49">
        <f t="shared" ref="K26" si="4">((K6+K12)*1000)/K24/12</f>
        <v>22.971965891466869</v>
      </c>
    </row>
    <row r="27" spans="1:15" x14ac:dyDescent="0.25">
      <c r="C27" s="4"/>
    </row>
    <row r="28" spans="1:15" x14ac:dyDescent="0.25">
      <c r="A28" s="135" t="s">
        <v>70</v>
      </c>
      <c r="B28" s="135"/>
      <c r="C28" s="151"/>
      <c r="D28" s="135">
        <v>13022097.964254312</v>
      </c>
      <c r="E28" s="135">
        <v>13250141.836668491</v>
      </c>
      <c r="F28" s="135">
        <f t="shared" ref="F28:J28" si="5">F29+F34+F38</f>
        <v>13894831</v>
      </c>
      <c r="G28" s="135">
        <f t="shared" si="5"/>
        <v>14220393</v>
      </c>
      <c r="H28" s="135">
        <f t="shared" si="5"/>
        <v>14571858</v>
      </c>
      <c r="I28" s="135">
        <f t="shared" si="5"/>
        <v>14145477</v>
      </c>
      <c r="J28" s="135">
        <f t="shared" si="5"/>
        <v>14383151</v>
      </c>
      <c r="K28" s="135">
        <v>15058364</v>
      </c>
      <c r="L28" s="60"/>
    </row>
    <row r="29" spans="1:15" x14ac:dyDescent="0.25">
      <c r="A29" s="138" t="s">
        <v>174</v>
      </c>
      <c r="B29" s="138"/>
      <c r="C29" s="152"/>
      <c r="D29" s="119">
        <f t="shared" ref="D29:J29" si="6">SUM(D30:D33)</f>
        <v>9967724.8370431699</v>
      </c>
      <c r="E29" s="119">
        <f t="shared" si="6"/>
        <v>9824719.4081682712</v>
      </c>
      <c r="F29" s="119">
        <f t="shared" si="6"/>
        <v>10199639</v>
      </c>
      <c r="G29" s="119">
        <f t="shared" si="6"/>
        <v>10127489</v>
      </c>
      <c r="H29" s="119">
        <f t="shared" si="6"/>
        <v>9884706</v>
      </c>
      <c r="I29" s="119">
        <f t="shared" si="6"/>
        <v>9081471</v>
      </c>
      <c r="J29" s="119">
        <f t="shared" si="6"/>
        <v>8949882</v>
      </c>
      <c r="K29" s="119">
        <v>8923113</v>
      </c>
      <c r="L29" s="60"/>
      <c r="M29" s="2"/>
      <c r="O29" s="60"/>
    </row>
    <row r="30" spans="1:15" x14ac:dyDescent="0.25">
      <c r="A30" s="26" t="s">
        <v>203</v>
      </c>
      <c r="B30" s="26"/>
      <c r="C30" s="15"/>
      <c r="D30" s="8">
        <v>4257134.5035158005</v>
      </c>
      <c r="E30" s="8">
        <v>3710958.2246453902</v>
      </c>
      <c r="F30" s="8">
        <v>3477453</v>
      </c>
      <c r="G30" s="8">
        <v>3224320</v>
      </c>
      <c r="H30" s="8">
        <v>2819534</v>
      </c>
      <c r="I30" s="7">
        <v>1987946</v>
      </c>
      <c r="J30" s="7">
        <v>1817382</v>
      </c>
      <c r="K30" s="7">
        <v>1662530</v>
      </c>
      <c r="L30" s="104"/>
      <c r="M30" s="60"/>
    </row>
    <row r="31" spans="1:15" x14ac:dyDescent="0.25">
      <c r="A31" s="26" t="s">
        <v>83</v>
      </c>
      <c r="B31" s="26"/>
      <c r="C31" s="15"/>
      <c r="D31" s="8">
        <v>3874757.1435273699</v>
      </c>
      <c r="E31" s="8">
        <v>4155645.6375258798</v>
      </c>
      <c r="F31" s="8">
        <v>4218547</v>
      </c>
      <c r="G31" s="8">
        <v>4317682</v>
      </c>
      <c r="H31" s="8">
        <v>4379793</v>
      </c>
      <c r="I31" s="7">
        <v>5637244</v>
      </c>
      <c r="J31" s="7">
        <v>5676312</v>
      </c>
      <c r="K31" s="7">
        <v>5843836</v>
      </c>
      <c r="L31" s="104"/>
      <c r="M31" s="32"/>
    </row>
    <row r="32" spans="1:15" x14ac:dyDescent="0.25">
      <c r="A32" s="26" t="s">
        <v>84</v>
      </c>
      <c r="B32" s="26"/>
      <c r="C32" s="15"/>
      <c r="D32" s="8">
        <v>516102</v>
      </c>
      <c r="E32" s="8">
        <v>879669</v>
      </c>
      <c r="F32" s="8">
        <v>1637770</v>
      </c>
      <c r="G32" s="8">
        <v>1679122</v>
      </c>
      <c r="H32" s="8">
        <v>1776252</v>
      </c>
      <c r="I32" s="7">
        <v>571051</v>
      </c>
      <c r="J32" s="7">
        <v>905764</v>
      </c>
      <c r="K32" s="7">
        <v>912415</v>
      </c>
      <c r="L32" s="60"/>
    </row>
    <row r="33" spans="1:15" x14ac:dyDescent="0.25">
      <c r="A33" s="26" t="s">
        <v>85</v>
      </c>
      <c r="B33" s="26"/>
      <c r="C33" s="15"/>
      <c r="D33" s="8">
        <v>1319731.19</v>
      </c>
      <c r="E33" s="8">
        <v>1078446.545997001</v>
      </c>
      <c r="F33" s="8">
        <v>865869</v>
      </c>
      <c r="G33" s="8">
        <v>906365</v>
      </c>
      <c r="H33" s="8">
        <v>909127</v>
      </c>
      <c r="I33" s="7">
        <v>885230</v>
      </c>
      <c r="J33" s="7">
        <v>550424</v>
      </c>
      <c r="K33" s="7">
        <v>504332</v>
      </c>
      <c r="L33" s="32"/>
    </row>
    <row r="34" spans="1:15" x14ac:dyDescent="0.25">
      <c r="A34" s="138" t="s">
        <v>175</v>
      </c>
      <c r="B34" s="138"/>
      <c r="C34" s="152"/>
      <c r="D34" s="119">
        <f t="shared" ref="D34:J34" si="7">SUM(D35:D37)</f>
        <v>2345649.9726170003</v>
      </c>
      <c r="E34" s="119">
        <f t="shared" si="7"/>
        <v>2489295.59825553</v>
      </c>
      <c r="F34" s="119">
        <f t="shared" si="7"/>
        <v>2535085</v>
      </c>
      <c r="G34" s="119">
        <f t="shared" si="7"/>
        <v>2646601</v>
      </c>
      <c r="H34" s="119">
        <f t="shared" si="7"/>
        <v>2666115</v>
      </c>
      <c r="I34" s="119">
        <f t="shared" si="7"/>
        <v>2879618</v>
      </c>
      <c r="J34" s="119">
        <f t="shared" si="7"/>
        <v>2966853</v>
      </c>
      <c r="K34" s="119">
        <v>3031729</v>
      </c>
      <c r="L34" s="103"/>
    </row>
    <row r="35" spans="1:15" x14ac:dyDescent="0.25">
      <c r="A35" s="26" t="s">
        <v>86</v>
      </c>
      <c r="B35" s="26"/>
      <c r="C35" s="15"/>
      <c r="D35" s="8">
        <v>2340174.9726170003</v>
      </c>
      <c r="E35" s="8">
        <v>2375409.59825553</v>
      </c>
      <c r="F35" s="8">
        <v>2415457</v>
      </c>
      <c r="G35" s="8">
        <v>2511919</v>
      </c>
      <c r="H35" s="8">
        <v>2505756</v>
      </c>
      <c r="I35" s="8">
        <v>2867726</v>
      </c>
      <c r="J35" s="8">
        <v>2949130</v>
      </c>
      <c r="K35" s="8">
        <v>2989081</v>
      </c>
      <c r="L35" s="60"/>
    </row>
    <row r="36" spans="1:15" x14ac:dyDescent="0.25">
      <c r="A36" s="26" t="s">
        <v>84</v>
      </c>
      <c r="B36" s="26"/>
      <c r="C36" s="15"/>
      <c r="D36" s="8">
        <v>5475</v>
      </c>
      <c r="E36" s="8">
        <v>86456</v>
      </c>
      <c r="F36" s="8">
        <v>104201</v>
      </c>
      <c r="G36" s="8">
        <v>118881</v>
      </c>
      <c r="H36" s="8">
        <v>149612</v>
      </c>
      <c r="I36" s="8">
        <v>0</v>
      </c>
      <c r="J36" s="8">
        <v>0</v>
      </c>
      <c r="K36" s="8">
        <v>15121</v>
      </c>
    </row>
    <row r="37" spans="1:15" x14ac:dyDescent="0.25">
      <c r="A37" s="26" t="s">
        <v>85</v>
      </c>
      <c r="B37" s="26"/>
      <c r="C37" s="15"/>
      <c r="D37" s="8">
        <v>0</v>
      </c>
      <c r="E37" s="8">
        <v>27430</v>
      </c>
      <c r="F37" s="8">
        <v>15427</v>
      </c>
      <c r="G37" s="8">
        <v>15801</v>
      </c>
      <c r="H37" s="8">
        <v>10747</v>
      </c>
      <c r="I37" s="8">
        <v>11892</v>
      </c>
      <c r="J37" s="8">
        <v>17723</v>
      </c>
      <c r="K37" s="8">
        <v>27527</v>
      </c>
    </row>
    <row r="38" spans="1:15" x14ac:dyDescent="0.25">
      <c r="A38" s="139" t="s">
        <v>24</v>
      </c>
      <c r="B38" s="139"/>
      <c r="C38" s="152"/>
      <c r="D38" s="119">
        <v>708723.15459414106</v>
      </c>
      <c r="E38" s="119">
        <v>936126.83024469099</v>
      </c>
      <c r="F38" s="119">
        <v>1160107</v>
      </c>
      <c r="G38" s="119">
        <v>1446303</v>
      </c>
      <c r="H38" s="119">
        <v>2021037</v>
      </c>
      <c r="I38" s="119">
        <v>2184388</v>
      </c>
      <c r="J38" s="119">
        <v>2466416</v>
      </c>
      <c r="K38" s="119">
        <v>3103522</v>
      </c>
      <c r="L38" s="60"/>
    </row>
    <row r="39" spans="1:15" x14ac:dyDescent="0.25">
      <c r="A39" s="37"/>
      <c r="B39" s="37"/>
      <c r="C39" s="17"/>
      <c r="D39" s="13"/>
      <c r="E39" s="13"/>
      <c r="F39" s="13"/>
      <c r="G39" s="13"/>
      <c r="H39" s="13"/>
      <c r="I39" s="14"/>
      <c r="J39" s="14"/>
      <c r="K39" s="14"/>
    </row>
    <row r="40" spans="1:15" x14ac:dyDescent="0.25">
      <c r="A40" s="135" t="s">
        <v>71</v>
      </c>
      <c r="B40" s="135"/>
      <c r="C40" s="151"/>
      <c r="D40" s="135"/>
      <c r="E40" s="135"/>
      <c r="F40" s="135"/>
      <c r="G40" s="135"/>
      <c r="H40" s="135"/>
      <c r="I40" s="135"/>
      <c r="J40" s="135"/>
      <c r="K40" s="135"/>
    </row>
    <row r="41" spans="1:15" x14ac:dyDescent="0.25">
      <c r="A41" s="138" t="s">
        <v>87</v>
      </c>
      <c r="B41" s="138"/>
      <c r="C41" s="152"/>
      <c r="D41" s="119">
        <v>12404654</v>
      </c>
      <c r="E41" s="119">
        <f t="shared" ref="E41:K41" si="8">((D28-D38)+(E28-E38))/2</f>
        <v>12313694.908041986</v>
      </c>
      <c r="F41" s="119">
        <f t="shared" si="8"/>
        <v>12524369.503211901</v>
      </c>
      <c r="G41" s="119">
        <f t="shared" si="8"/>
        <v>12754407</v>
      </c>
      <c r="H41" s="119">
        <f t="shared" si="8"/>
        <v>12662455.5</v>
      </c>
      <c r="I41" s="119">
        <f t="shared" si="8"/>
        <v>12255955</v>
      </c>
      <c r="J41" s="119">
        <f t="shared" si="8"/>
        <v>11938912</v>
      </c>
      <c r="K41" s="119">
        <f t="shared" si="8"/>
        <v>11935788.5</v>
      </c>
    </row>
    <row r="42" spans="1:15" x14ac:dyDescent="0.25">
      <c r="A42" s="138" t="s">
        <v>88</v>
      </c>
      <c r="B42" s="138"/>
      <c r="C42" s="152"/>
      <c r="D42" s="119"/>
      <c r="E42" s="119">
        <f t="shared" ref="E42:K42" si="9">((D30+D31+D35)+(E30+E31+E35))/2</f>
        <v>10357040.040043484</v>
      </c>
      <c r="F42" s="119">
        <f t="shared" si="9"/>
        <v>10176735.2302134</v>
      </c>
      <c r="G42" s="119">
        <f t="shared" si="9"/>
        <v>10082689</v>
      </c>
      <c r="H42" s="119">
        <f t="shared" si="9"/>
        <v>9879502</v>
      </c>
      <c r="I42" s="119">
        <f t="shared" si="9"/>
        <v>10098999.5</v>
      </c>
      <c r="J42" s="119">
        <f t="shared" si="9"/>
        <v>10467870</v>
      </c>
      <c r="K42" s="119">
        <f t="shared" si="9"/>
        <v>10469135.5</v>
      </c>
    </row>
    <row r="43" spans="1:15" x14ac:dyDescent="0.25">
      <c r="A43" s="12" t="s">
        <v>89</v>
      </c>
      <c r="B43" s="12"/>
      <c r="C43" s="15"/>
      <c r="D43" s="7"/>
      <c r="E43" s="8">
        <f t="shared" ref="E43:K43" si="10">(D30+D31+E30+E31)/2</f>
        <v>7999247.7546072192</v>
      </c>
      <c r="F43" s="8">
        <f t="shared" si="10"/>
        <v>7781301.931085635</v>
      </c>
      <c r="G43" s="8">
        <f t="shared" si="10"/>
        <v>7619001</v>
      </c>
      <c r="H43" s="8">
        <f t="shared" si="10"/>
        <v>7370664.5</v>
      </c>
      <c r="I43" s="8">
        <f t="shared" si="10"/>
        <v>7412258.5</v>
      </c>
      <c r="J43" s="8">
        <f t="shared" si="10"/>
        <v>7559442</v>
      </c>
      <c r="K43" s="8">
        <f t="shared" si="10"/>
        <v>7500030</v>
      </c>
    </row>
    <row r="44" spans="1:15" x14ac:dyDescent="0.25">
      <c r="A44" s="12" t="s">
        <v>68</v>
      </c>
      <c r="B44" s="12"/>
      <c r="C44" s="15"/>
      <c r="D44" s="7"/>
      <c r="E44" s="8">
        <f t="shared" ref="E44:K44" si="11">(D35+E35)/2</f>
        <v>2357792.2854362652</v>
      </c>
      <c r="F44" s="8">
        <f t="shared" si="11"/>
        <v>2395433.299127765</v>
      </c>
      <c r="G44" s="8">
        <f t="shared" si="11"/>
        <v>2463688</v>
      </c>
      <c r="H44" s="8">
        <f t="shared" si="11"/>
        <v>2508837.5</v>
      </c>
      <c r="I44" s="8">
        <f t="shared" si="11"/>
        <v>2686741</v>
      </c>
      <c r="J44" s="8">
        <f t="shared" si="11"/>
        <v>2908428</v>
      </c>
      <c r="K44" s="8">
        <f t="shared" si="11"/>
        <v>2969105.5</v>
      </c>
    </row>
    <row r="45" spans="1:15" x14ac:dyDescent="0.25">
      <c r="A45" s="24"/>
      <c r="B45" s="24"/>
      <c r="C45" s="15"/>
      <c r="D45" s="27"/>
      <c r="E45" s="27"/>
      <c r="F45" s="28"/>
      <c r="G45" s="28"/>
      <c r="H45" s="28"/>
      <c r="I45" s="25"/>
      <c r="J45" s="25"/>
      <c r="K45" s="25"/>
    </row>
    <row r="46" spans="1:15" x14ac:dyDescent="0.25">
      <c r="A46" s="135" t="s">
        <v>65</v>
      </c>
      <c r="B46" s="135"/>
      <c r="C46" s="151"/>
      <c r="D46" s="154"/>
      <c r="E46" s="154"/>
      <c r="F46" s="154"/>
      <c r="G46" s="154"/>
      <c r="H46" s="154"/>
      <c r="I46" s="154"/>
      <c r="J46" s="154"/>
      <c r="K46" s="154"/>
    </row>
    <row r="47" spans="1:15" x14ac:dyDescent="0.25">
      <c r="A47" s="138" t="s">
        <v>192</v>
      </c>
      <c r="B47" s="138"/>
      <c r="C47" s="152"/>
      <c r="D47" s="119"/>
      <c r="E47" s="119">
        <f t="shared" ref="E47:K47" si="12">SUM(E48:E50)</f>
        <v>7866600.86217127</v>
      </c>
      <c r="F47" s="119">
        <f t="shared" si="12"/>
        <v>7696000</v>
      </c>
      <c r="G47" s="119">
        <f t="shared" si="12"/>
        <v>7535387.4825486159</v>
      </c>
      <c r="H47" s="119">
        <f t="shared" si="12"/>
        <v>7199327</v>
      </c>
      <c r="I47" s="119">
        <f t="shared" si="12"/>
        <v>7625190</v>
      </c>
      <c r="J47" s="119">
        <f t="shared" si="12"/>
        <v>7493694</v>
      </c>
      <c r="K47" s="119">
        <f t="shared" si="12"/>
        <v>7506366</v>
      </c>
      <c r="L47" s="2"/>
      <c r="M47" s="2"/>
      <c r="N47" s="2"/>
      <c r="O47" s="2"/>
    </row>
    <row r="48" spans="1:15" x14ac:dyDescent="0.25">
      <c r="A48" s="26" t="s">
        <v>90</v>
      </c>
      <c r="B48" s="26"/>
      <c r="C48" s="15"/>
      <c r="D48" s="38" t="s">
        <v>58</v>
      </c>
      <c r="E48" s="7">
        <v>4241586.86217127</v>
      </c>
      <c r="F48" s="7">
        <v>3901321</v>
      </c>
      <c r="G48" s="7">
        <v>3196095.9777277359</v>
      </c>
      <c r="H48" s="7">
        <v>2964827</v>
      </c>
      <c r="I48" s="7">
        <v>1774885</v>
      </c>
      <c r="J48" s="7">
        <v>1175181</v>
      </c>
      <c r="K48" s="7">
        <v>737978.05799999996</v>
      </c>
      <c r="L48" s="2"/>
      <c r="M48" s="2"/>
      <c r="N48" s="2"/>
      <c r="O48" s="2"/>
    </row>
    <row r="49" spans="1:15" x14ac:dyDescent="0.25">
      <c r="A49" s="26" t="s">
        <v>91</v>
      </c>
      <c r="B49" s="26"/>
      <c r="C49" s="15"/>
      <c r="D49" s="38" t="s">
        <v>58</v>
      </c>
      <c r="E49" s="7">
        <v>3429614</v>
      </c>
      <c r="F49" s="7">
        <v>3541108</v>
      </c>
      <c r="G49" s="7">
        <v>4082473.50482088</v>
      </c>
      <c r="H49" s="7">
        <v>4004714</v>
      </c>
      <c r="I49" s="7">
        <v>5619832</v>
      </c>
      <c r="J49" s="7">
        <v>6104259</v>
      </c>
      <c r="K49" s="7">
        <v>6620695.9419999998</v>
      </c>
      <c r="L49" s="2"/>
      <c r="M49" s="2"/>
    </row>
    <row r="50" spans="1:15" x14ac:dyDescent="0.25">
      <c r="A50" s="29" t="s">
        <v>92</v>
      </c>
      <c r="B50" s="29"/>
      <c r="C50" s="15"/>
      <c r="D50" s="38" t="s">
        <v>58</v>
      </c>
      <c r="E50" s="7">
        <v>195400</v>
      </c>
      <c r="F50" s="7">
        <v>253571</v>
      </c>
      <c r="G50" s="7">
        <v>256818</v>
      </c>
      <c r="H50" s="7">
        <v>229786</v>
      </c>
      <c r="I50" s="10">
        <v>230473</v>
      </c>
      <c r="J50" s="10">
        <v>214254</v>
      </c>
      <c r="K50" s="10">
        <v>147692</v>
      </c>
    </row>
    <row r="51" spans="1:15" x14ac:dyDescent="0.25">
      <c r="A51" s="29"/>
      <c r="B51" s="29"/>
      <c r="C51" s="15"/>
      <c r="D51" s="6"/>
      <c r="E51" s="10"/>
      <c r="F51" s="30"/>
      <c r="G51" s="30"/>
      <c r="H51" s="30"/>
      <c r="I51" s="10"/>
      <c r="J51" s="10"/>
      <c r="K51" s="10"/>
      <c r="L51" s="2"/>
    </row>
    <row r="52" spans="1:15" x14ac:dyDescent="0.25">
      <c r="A52" s="137" t="s">
        <v>191</v>
      </c>
      <c r="B52" s="137"/>
      <c r="C52" s="152"/>
      <c r="D52" s="153"/>
      <c r="E52" s="119">
        <f t="shared" ref="E52:K52" si="13">SUM(E53:E55)</f>
        <v>2375412.5982555309</v>
      </c>
      <c r="F52" s="119">
        <f t="shared" si="13"/>
        <v>2415457</v>
      </c>
      <c r="G52" s="119">
        <f t="shared" si="13"/>
        <v>2518533.517451386</v>
      </c>
      <c r="H52" s="119">
        <f t="shared" si="13"/>
        <v>2505756</v>
      </c>
      <c r="I52" s="119">
        <f t="shared" si="13"/>
        <v>2867726</v>
      </c>
      <c r="J52" s="119">
        <f t="shared" si="13"/>
        <v>2949130</v>
      </c>
      <c r="K52" s="119">
        <f t="shared" si="13"/>
        <v>2989081</v>
      </c>
      <c r="L52" s="2"/>
    </row>
    <row r="53" spans="1:15" x14ac:dyDescent="0.25">
      <c r="A53" s="26" t="s">
        <v>90</v>
      </c>
      <c r="B53" s="26"/>
      <c r="C53" s="15"/>
      <c r="D53" s="38" t="s">
        <v>58</v>
      </c>
      <c r="E53" s="10">
        <v>875664.59825553093</v>
      </c>
      <c r="F53" s="10">
        <v>676020</v>
      </c>
      <c r="G53" s="10">
        <v>544403.18227226404</v>
      </c>
      <c r="H53" s="10">
        <v>440931</v>
      </c>
      <c r="I53" s="10">
        <v>412244</v>
      </c>
      <c r="J53" s="10">
        <v>569293</v>
      </c>
      <c r="K53" s="10">
        <v>408552.78399999999</v>
      </c>
      <c r="L53" s="2"/>
    </row>
    <row r="54" spans="1:15" x14ac:dyDescent="0.25">
      <c r="A54" s="26" t="s">
        <v>91</v>
      </c>
      <c r="B54" s="26"/>
      <c r="C54" s="15"/>
      <c r="D54" s="38" t="s">
        <v>58</v>
      </c>
      <c r="E54" s="10">
        <v>1225323</v>
      </c>
      <c r="F54" s="10">
        <v>1328649</v>
      </c>
      <c r="G54" s="10">
        <v>1555375.3351791219</v>
      </c>
      <c r="H54" s="10">
        <v>1651191</v>
      </c>
      <c r="I54" s="10">
        <v>2054524</v>
      </c>
      <c r="J54" s="10">
        <v>2124707</v>
      </c>
      <c r="K54" s="10">
        <v>2283472.216</v>
      </c>
      <c r="L54" s="60"/>
    </row>
    <row r="55" spans="1:15" x14ac:dyDescent="0.25">
      <c r="A55" s="29" t="s">
        <v>92</v>
      </c>
      <c r="B55" s="29"/>
      <c r="C55" s="15"/>
      <c r="D55" s="38" t="s">
        <v>58</v>
      </c>
      <c r="E55" s="10">
        <v>274425</v>
      </c>
      <c r="F55" s="10">
        <v>410788</v>
      </c>
      <c r="G55" s="10">
        <v>418755</v>
      </c>
      <c r="H55" s="10">
        <v>413634</v>
      </c>
      <c r="I55" s="10">
        <v>400958</v>
      </c>
      <c r="J55" s="10">
        <v>255130</v>
      </c>
      <c r="K55" s="10">
        <v>297056</v>
      </c>
      <c r="L55" s="3"/>
    </row>
    <row r="56" spans="1:15" x14ac:dyDescent="0.25">
      <c r="A56" s="29"/>
      <c r="B56" s="29"/>
      <c r="C56" s="15"/>
      <c r="D56" s="10"/>
      <c r="E56" s="10"/>
      <c r="F56" s="30"/>
      <c r="G56" s="30"/>
      <c r="H56" s="30"/>
      <c r="I56" s="10"/>
      <c r="J56" s="10"/>
      <c r="K56" s="10"/>
      <c r="L56" s="2"/>
    </row>
    <row r="57" spans="1:15" x14ac:dyDescent="0.25">
      <c r="A57" s="135" t="s">
        <v>261</v>
      </c>
      <c r="B57" s="135"/>
      <c r="C57" s="151"/>
      <c r="D57" s="154">
        <v>3287962</v>
      </c>
      <c r="E57" s="154">
        <v>5171818</v>
      </c>
      <c r="F57" s="154">
        <v>5257131</v>
      </c>
      <c r="G57" s="154">
        <v>6066255</v>
      </c>
      <c r="H57" s="154">
        <v>6293280</v>
      </c>
      <c r="I57" s="154">
        <v>8305787</v>
      </c>
      <c r="J57" s="154">
        <v>8367449</v>
      </c>
      <c r="K57" s="154">
        <v>8681280</v>
      </c>
      <c r="L57" s="60"/>
      <c r="O57" s="2"/>
    </row>
    <row r="58" spans="1:15" x14ac:dyDescent="0.25">
      <c r="A58" s="29" t="s">
        <v>93</v>
      </c>
      <c r="B58" s="29"/>
      <c r="C58" s="15"/>
      <c r="D58" s="38" t="s">
        <v>58</v>
      </c>
      <c r="E58" s="10">
        <v>4684859</v>
      </c>
      <c r="F58" s="10">
        <v>3804592</v>
      </c>
      <c r="G58" s="10">
        <v>3283231</v>
      </c>
      <c r="H58" s="10">
        <v>2267354</v>
      </c>
      <c r="I58" s="10">
        <v>2459918</v>
      </c>
      <c r="J58" s="10">
        <v>1754897</v>
      </c>
      <c r="K58" s="10">
        <v>1378750</v>
      </c>
      <c r="L58" s="2"/>
    </row>
    <row r="59" spans="1:15" x14ac:dyDescent="0.25">
      <c r="A59" s="29" t="s">
        <v>94</v>
      </c>
      <c r="B59" s="29"/>
      <c r="C59" s="15"/>
      <c r="D59" s="38" t="s">
        <v>58</v>
      </c>
      <c r="E59" s="10">
        <v>486959</v>
      </c>
      <c r="F59" s="10">
        <v>1452539</v>
      </c>
      <c r="G59" s="10">
        <v>2783024</v>
      </c>
      <c r="H59" s="10">
        <v>4025926</v>
      </c>
      <c r="I59" s="10">
        <v>5845869</v>
      </c>
      <c r="J59" s="10">
        <v>6612552</v>
      </c>
      <c r="K59" s="10">
        <v>7302530</v>
      </c>
      <c r="L59" s="60"/>
    </row>
    <row r="60" spans="1:15" x14ac:dyDescent="0.25">
      <c r="A60" s="39"/>
      <c r="B60" s="39"/>
      <c r="C60" s="15"/>
      <c r="D60" s="5"/>
      <c r="E60" s="5"/>
      <c r="F60" s="5"/>
      <c r="G60" s="5"/>
      <c r="H60" s="5"/>
      <c r="I60" s="5"/>
      <c r="J60" s="5"/>
      <c r="K60" s="5"/>
      <c r="L60" s="2"/>
    </row>
    <row r="61" spans="1:15" x14ac:dyDescent="0.25">
      <c r="A61" s="155" t="s">
        <v>200</v>
      </c>
      <c r="B61" s="39"/>
      <c r="C61" s="15"/>
      <c r="D61" s="5"/>
      <c r="E61" s="5"/>
      <c r="F61" s="5"/>
      <c r="G61" s="5"/>
      <c r="H61" s="5"/>
      <c r="I61" s="5">
        <f>I62+I63</f>
        <v>8305787</v>
      </c>
      <c r="J61" s="5">
        <f>J62+J63</f>
        <v>8367449</v>
      </c>
      <c r="K61" s="5">
        <f>K62+K63</f>
        <v>8681280</v>
      </c>
      <c r="L61" s="2"/>
      <c r="M61" s="2"/>
    </row>
    <row r="62" spans="1:15" x14ac:dyDescent="0.25">
      <c r="A62" s="12" t="s">
        <v>238</v>
      </c>
      <c r="B62" s="39"/>
      <c r="C62" s="15"/>
      <c r="D62" s="5"/>
      <c r="E62" s="5"/>
      <c r="F62" s="5"/>
      <c r="G62" s="5"/>
      <c r="H62" s="5"/>
      <c r="I62" s="10">
        <f>I49+I50</f>
        <v>5850305</v>
      </c>
      <c r="J62" s="10">
        <v>5878932</v>
      </c>
      <c r="K62" s="10">
        <v>6089024</v>
      </c>
      <c r="L62" s="2"/>
    </row>
    <row r="63" spans="1:15" x14ac:dyDescent="0.25">
      <c r="A63" s="12" t="s">
        <v>239</v>
      </c>
      <c r="B63" s="39"/>
      <c r="C63" s="15"/>
      <c r="D63" s="5"/>
      <c r="E63" s="5"/>
      <c r="F63" s="5"/>
      <c r="G63" s="5"/>
      <c r="H63" s="5"/>
      <c r="I63" s="10">
        <f>I55+I54</f>
        <v>2455482</v>
      </c>
      <c r="J63" s="10">
        <v>2488517</v>
      </c>
      <c r="K63" s="10">
        <v>2592256</v>
      </c>
      <c r="L63" s="2"/>
    </row>
    <row r="64" spans="1:15" x14ac:dyDescent="0.25">
      <c r="A64" s="29"/>
      <c r="B64" s="29"/>
      <c r="C64" s="15"/>
      <c r="D64" s="10"/>
      <c r="E64" s="10"/>
      <c r="F64" s="30"/>
      <c r="G64" s="30"/>
      <c r="H64" s="30"/>
      <c r="I64" s="10"/>
      <c r="J64" s="10"/>
      <c r="K64" s="10"/>
      <c r="L64" s="2"/>
    </row>
    <row r="65" spans="1:16" x14ac:dyDescent="0.25">
      <c r="A65" s="135" t="s">
        <v>249</v>
      </c>
      <c r="B65" s="135"/>
      <c r="C65" s="151"/>
      <c r="D65" s="154">
        <f t="shared" ref="D65:K65" si="14">SUM(D66:D69)</f>
        <v>3638434</v>
      </c>
      <c r="E65" s="154">
        <f t="shared" si="14"/>
        <v>5719883</v>
      </c>
      <c r="F65" s="154">
        <f t="shared" si="14"/>
        <v>5992209</v>
      </c>
      <c r="G65" s="154">
        <f t="shared" si="14"/>
        <v>6940277</v>
      </c>
      <c r="H65" s="154">
        <f t="shared" si="14"/>
        <v>7480397</v>
      </c>
      <c r="I65" s="154">
        <f t="shared" si="14"/>
        <v>8588776</v>
      </c>
      <c r="J65" s="154">
        <f t="shared" si="14"/>
        <v>8696567</v>
      </c>
      <c r="K65" s="154">
        <f t="shared" si="14"/>
        <v>10037211</v>
      </c>
      <c r="L65" s="2"/>
    </row>
    <row r="66" spans="1:16" s="43" customFormat="1" x14ac:dyDescent="0.25">
      <c r="A66" s="29" t="s">
        <v>201</v>
      </c>
      <c r="B66" s="29"/>
      <c r="C66" s="33"/>
      <c r="D66" s="44">
        <v>2827488</v>
      </c>
      <c r="E66" s="44">
        <v>4730364</v>
      </c>
      <c r="F66" s="44">
        <v>4637895</v>
      </c>
      <c r="G66" s="44">
        <v>5445840</v>
      </c>
      <c r="H66" s="44">
        <v>5710830</v>
      </c>
      <c r="I66" s="44">
        <v>7718640</v>
      </c>
      <c r="J66" s="44">
        <v>7947083</v>
      </c>
      <c r="K66" s="44">
        <v>8289193</v>
      </c>
      <c r="L66" s="2"/>
      <c r="M66" s="176"/>
    </row>
    <row r="67" spans="1:16" s="43" customFormat="1" x14ac:dyDescent="0.25">
      <c r="A67" s="29" t="s">
        <v>102</v>
      </c>
      <c r="B67" s="29"/>
      <c r="C67" s="33"/>
      <c r="D67" s="44">
        <v>337943</v>
      </c>
      <c r="E67" s="44">
        <v>520645</v>
      </c>
      <c r="F67" s="44">
        <v>702701</v>
      </c>
      <c r="G67" s="44">
        <v>840800</v>
      </c>
      <c r="H67" s="44">
        <v>1158931</v>
      </c>
      <c r="I67" s="44">
        <v>282652</v>
      </c>
      <c r="J67" s="44">
        <f>328692</f>
        <v>328692</v>
      </c>
      <c r="K67" s="44">
        <v>1355094</v>
      </c>
      <c r="L67" s="176"/>
    </row>
    <row r="68" spans="1:16" s="43" customFormat="1" x14ac:dyDescent="0.25">
      <c r="A68" s="29" t="s">
        <v>202</v>
      </c>
      <c r="B68" s="29"/>
      <c r="C68" s="33"/>
      <c r="D68" s="44">
        <v>460474</v>
      </c>
      <c r="E68" s="44">
        <v>441454</v>
      </c>
      <c r="F68" s="44">
        <v>619236</v>
      </c>
      <c r="G68" s="44">
        <v>620415</v>
      </c>
      <c r="H68" s="44">
        <v>582450</v>
      </c>
      <c r="I68" s="44">
        <v>587147</v>
      </c>
      <c r="J68" s="44">
        <v>420366</v>
      </c>
      <c r="K68" s="44">
        <v>392087</v>
      </c>
      <c r="L68" s="42"/>
      <c r="M68" s="42"/>
    </row>
    <row r="69" spans="1:16" s="43" customFormat="1" x14ac:dyDescent="0.25">
      <c r="A69" s="29" t="s">
        <v>176</v>
      </c>
      <c r="B69" s="29"/>
      <c r="C69" s="33"/>
      <c r="D69" s="44">
        <v>12529</v>
      </c>
      <c r="E69" s="44">
        <v>27420</v>
      </c>
      <c r="F69" s="44">
        <v>32377</v>
      </c>
      <c r="G69" s="44">
        <v>33222</v>
      </c>
      <c r="H69" s="44">
        <v>28186</v>
      </c>
      <c r="I69" s="44">
        <v>337</v>
      </c>
      <c r="J69" s="44">
        <v>426</v>
      </c>
      <c r="K69" s="44">
        <v>837</v>
      </c>
      <c r="L69" s="42"/>
      <c r="M69" s="176"/>
    </row>
    <row r="70" spans="1:16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"/>
    </row>
    <row r="71" spans="1:16" x14ac:dyDescent="0.25">
      <c r="A71" s="135" t="s">
        <v>72</v>
      </c>
      <c r="B71" s="135"/>
      <c r="C71" s="151"/>
      <c r="D71" s="154"/>
      <c r="E71" s="154"/>
      <c r="F71" s="154"/>
      <c r="G71" s="154"/>
      <c r="H71" s="154"/>
      <c r="I71" s="154"/>
      <c r="J71" s="154"/>
      <c r="K71" s="154"/>
    </row>
    <row r="72" spans="1:16" x14ac:dyDescent="0.25">
      <c r="A72" s="155" t="s">
        <v>171</v>
      </c>
      <c r="B72" s="119"/>
      <c r="C72" s="156" t="s">
        <v>61</v>
      </c>
      <c r="D72" s="142">
        <f t="shared" ref="D72:I72" si="15">SUM(D73:D81)</f>
        <v>15338304.884585328</v>
      </c>
      <c r="E72" s="142">
        <f t="shared" si="15"/>
        <v>15404685.862449881</v>
      </c>
      <c r="F72" s="142">
        <f t="shared" si="15"/>
        <v>16135463.266938888</v>
      </c>
      <c r="G72" s="142">
        <f t="shared" si="15"/>
        <v>16377149.788910003</v>
      </c>
      <c r="H72" s="142">
        <f t="shared" si="15"/>
        <v>17257503.005011991</v>
      </c>
      <c r="I72" s="142">
        <f t="shared" si="15"/>
        <v>17713318.885306112</v>
      </c>
      <c r="J72" s="142">
        <f>J73+J74+J75+J76+J77+J78+J81</f>
        <v>18158314.279370885</v>
      </c>
      <c r="K72" s="142">
        <v>18616336.172256369</v>
      </c>
      <c r="M72" s="2"/>
      <c r="N72" s="2"/>
      <c r="O72" s="60"/>
      <c r="P72" s="2"/>
    </row>
    <row r="73" spans="1:16" x14ac:dyDescent="0.25">
      <c r="A73" s="12" t="s">
        <v>95</v>
      </c>
      <c r="B73" s="12"/>
      <c r="C73" s="17"/>
      <c r="D73" s="7">
        <v>2425253.3404536541</v>
      </c>
      <c r="E73" s="7">
        <v>2520387.7089148359</v>
      </c>
      <c r="F73" s="7">
        <v>2667132.7690635622</v>
      </c>
      <c r="G73" s="7">
        <v>2391292.8307052879</v>
      </c>
      <c r="H73" s="7">
        <v>2553945.4535587914</v>
      </c>
      <c r="I73" s="7">
        <v>2741666.8155227597</v>
      </c>
      <c r="J73" s="7">
        <v>2728638.6914708922</v>
      </c>
      <c r="K73" s="7">
        <v>2735411.3263192503</v>
      </c>
      <c r="L73" s="2"/>
      <c r="O73" s="60"/>
    </row>
    <row r="74" spans="1:16" x14ac:dyDescent="0.25">
      <c r="A74" s="12" t="s">
        <v>96</v>
      </c>
      <c r="B74" s="12"/>
      <c r="C74" s="17"/>
      <c r="D74" s="7">
        <v>3781168.86075335</v>
      </c>
      <c r="E74" s="7">
        <v>4275267.4064993197</v>
      </c>
      <c r="F74" s="7">
        <v>4767712.5369992303</v>
      </c>
      <c r="G74" s="7">
        <v>5617277.8474139404</v>
      </c>
      <c r="H74" s="7">
        <v>6427727.2695421297</v>
      </c>
      <c r="I74" s="7">
        <v>6026743.2478973195</v>
      </c>
      <c r="J74" s="7">
        <v>5942728.8386173295</v>
      </c>
      <c r="K74" s="7">
        <v>6322738.8511752943</v>
      </c>
      <c r="O74" s="60"/>
    </row>
    <row r="75" spans="1:16" x14ac:dyDescent="0.25">
      <c r="A75" s="12" t="s">
        <v>97</v>
      </c>
      <c r="B75" s="12"/>
      <c r="C75" s="17"/>
      <c r="D75" s="7">
        <v>7454321.5880035702</v>
      </c>
      <c r="E75" s="7">
        <v>7032145.87231634</v>
      </c>
      <c r="F75" s="7">
        <v>6890117.9548283601</v>
      </c>
      <c r="G75" s="7">
        <v>6701685.9662899999</v>
      </c>
      <c r="H75" s="7">
        <v>6560970.2611386701</v>
      </c>
      <c r="I75" s="7">
        <v>6994097.0296749081</v>
      </c>
      <c r="J75" s="7">
        <v>7401100.9575493298</v>
      </c>
      <c r="K75" s="7">
        <v>7554087.2907137368</v>
      </c>
      <c r="O75" s="60"/>
    </row>
    <row r="76" spans="1:16" x14ac:dyDescent="0.25">
      <c r="A76" s="12" t="s">
        <v>98</v>
      </c>
      <c r="B76" s="12"/>
      <c r="C76" s="17"/>
      <c r="D76" s="7">
        <v>855151.43139977939</v>
      </c>
      <c r="E76" s="7">
        <v>713304.91900629154</v>
      </c>
      <c r="F76" s="7">
        <v>920196.58679662272</v>
      </c>
      <c r="G76" s="7">
        <v>740723.701436667</v>
      </c>
      <c r="H76" s="7">
        <v>758937.41261607083</v>
      </c>
      <c r="I76" s="7">
        <v>701415.76807501947</v>
      </c>
      <c r="J76" s="7">
        <v>652402.80072000017</v>
      </c>
      <c r="K76" s="7">
        <v>600547.81560533517</v>
      </c>
      <c r="O76" s="60"/>
    </row>
    <row r="77" spans="1:16" x14ac:dyDescent="0.25">
      <c r="A77" s="12" t="s">
        <v>99</v>
      </c>
      <c r="B77" s="12"/>
      <c r="C77" s="17"/>
      <c r="D77" s="7">
        <v>248421.406025907</v>
      </c>
      <c r="E77" s="7">
        <v>277623.85634779168</v>
      </c>
      <c r="F77" s="7">
        <v>284932.79609657882</v>
      </c>
      <c r="G77" s="7">
        <v>307617.92471410631</v>
      </c>
      <c r="H77" s="7">
        <v>298494.76783966069</v>
      </c>
      <c r="I77" s="7">
        <v>357041.2428174403</v>
      </c>
      <c r="J77" s="7">
        <v>348753.49469666672</v>
      </c>
      <c r="K77" s="7">
        <v>237637.63909652596</v>
      </c>
      <c r="L77" s="2"/>
      <c r="M77" s="2"/>
      <c r="O77" s="60"/>
    </row>
    <row r="78" spans="1:16" x14ac:dyDescent="0.25">
      <c r="A78" s="12" t="s">
        <v>100</v>
      </c>
      <c r="B78" s="12"/>
      <c r="C78" s="17"/>
      <c r="D78" s="7">
        <v>273350.43256536667</v>
      </c>
      <c r="E78" s="7">
        <v>258519.43628349999</v>
      </c>
      <c r="F78" s="7">
        <v>267444.06754976691</v>
      </c>
      <c r="G78" s="7">
        <v>266562.67632533167</v>
      </c>
      <c r="H78" s="7">
        <v>278855.20778333338</v>
      </c>
      <c r="I78" s="7">
        <v>383491.29933745146</v>
      </c>
      <c r="J78" s="7">
        <v>472862.66844731895</v>
      </c>
      <c r="K78" s="7">
        <v>526530.64348409278</v>
      </c>
    </row>
    <row r="79" spans="1:16" x14ac:dyDescent="0.25">
      <c r="A79" s="12" t="s">
        <v>233</v>
      </c>
      <c r="B79" s="12"/>
      <c r="C79" s="17"/>
      <c r="D79" s="7"/>
      <c r="E79" s="7"/>
      <c r="F79" s="7"/>
      <c r="G79" s="7"/>
      <c r="H79" s="7"/>
      <c r="I79" s="7"/>
      <c r="J79" s="7">
        <v>459797.96543065232</v>
      </c>
      <c r="K79" s="7">
        <v>518481.08316742611</v>
      </c>
      <c r="L79" s="2"/>
    </row>
    <row r="80" spans="1:16" x14ac:dyDescent="0.25">
      <c r="A80" s="12" t="s">
        <v>234</v>
      </c>
      <c r="B80" s="12"/>
      <c r="C80" s="17"/>
      <c r="D80" s="7"/>
      <c r="E80" s="7"/>
      <c r="F80" s="7"/>
      <c r="G80" s="7"/>
      <c r="H80" s="7"/>
      <c r="I80" s="7"/>
      <c r="J80" s="7">
        <f>J78-J79</f>
        <v>13064.703016666637</v>
      </c>
      <c r="K80" s="7">
        <v>8049.5603166666697</v>
      </c>
    </row>
    <row r="81" spans="1:14" x14ac:dyDescent="0.25">
      <c r="A81" s="12" t="s">
        <v>101</v>
      </c>
      <c r="B81" s="12"/>
      <c r="C81" s="17"/>
      <c r="D81" s="7">
        <v>300637.82538369996</v>
      </c>
      <c r="E81" s="7">
        <v>327436.66308179998</v>
      </c>
      <c r="F81" s="7">
        <v>337926.55560476746</v>
      </c>
      <c r="G81" s="7">
        <v>351988.84202466835</v>
      </c>
      <c r="H81" s="7">
        <v>378572.63253333332</v>
      </c>
      <c r="I81" s="7">
        <v>508863.48198121577</v>
      </c>
      <c r="J81" s="7">
        <v>611826.827869348</v>
      </c>
      <c r="K81" s="7">
        <v>639382.60586213379</v>
      </c>
      <c r="L81" s="110"/>
    </row>
    <row r="82" spans="1:14" x14ac:dyDescent="0.25">
      <c r="A82" s="12" t="s">
        <v>235</v>
      </c>
      <c r="B82" s="12"/>
      <c r="C82" s="17"/>
      <c r="D82" s="13"/>
      <c r="E82" s="13"/>
      <c r="F82" s="13"/>
      <c r="G82" s="13"/>
      <c r="H82" s="13"/>
      <c r="I82" s="13"/>
      <c r="J82" s="7">
        <f>J81-J83</f>
        <v>599721.827869348</v>
      </c>
      <c r="K82" s="7">
        <v>633549.38031213381</v>
      </c>
      <c r="L82" s="110"/>
    </row>
    <row r="83" spans="1:14" x14ac:dyDescent="0.25">
      <c r="A83" s="12" t="s">
        <v>236</v>
      </c>
      <c r="B83" s="12"/>
      <c r="C83" s="17"/>
      <c r="D83" s="13"/>
      <c r="E83" s="13"/>
      <c r="F83" s="13"/>
      <c r="G83" s="13"/>
      <c r="H83" s="13"/>
      <c r="I83" s="13"/>
      <c r="J83" s="7">
        <v>12105</v>
      </c>
      <c r="K83" s="7">
        <v>5833.2255500000001</v>
      </c>
      <c r="L83" s="110"/>
    </row>
    <row r="84" spans="1:14" x14ac:dyDescent="0.25">
      <c r="A84" s="19"/>
      <c r="B84" s="19"/>
      <c r="C84" s="17"/>
      <c r="D84" s="13"/>
      <c r="E84" s="13"/>
      <c r="F84" s="13"/>
      <c r="G84" s="13"/>
      <c r="H84" s="13"/>
      <c r="I84" s="13"/>
      <c r="J84" s="13"/>
      <c r="K84" s="13"/>
    </row>
    <row r="85" spans="1:14" x14ac:dyDescent="0.25">
      <c r="A85" s="119" t="s">
        <v>204</v>
      </c>
      <c r="B85" s="119"/>
      <c r="C85" s="156" t="s">
        <v>61</v>
      </c>
      <c r="D85" s="13"/>
      <c r="E85" s="13"/>
      <c r="F85" s="13"/>
      <c r="G85" s="13"/>
      <c r="H85" s="13"/>
      <c r="I85" s="13"/>
      <c r="J85" s="13"/>
      <c r="K85" s="13"/>
    </row>
    <row r="86" spans="1:14" x14ac:dyDescent="0.25">
      <c r="A86" s="7" t="s">
        <v>232</v>
      </c>
      <c r="B86" s="13"/>
      <c r="C86" s="33"/>
      <c r="D86" s="7">
        <v>1587790.9421077336</v>
      </c>
      <c r="E86" s="7">
        <v>1680812.0167582999</v>
      </c>
      <c r="F86" s="7">
        <v>2575193.07650556</v>
      </c>
      <c r="G86" s="7">
        <v>2673419.1199500668</v>
      </c>
      <c r="H86" s="7">
        <v>3300824.4665333331</v>
      </c>
      <c r="I86" s="7">
        <v>1621995.9989500011</v>
      </c>
      <c r="J86" s="13"/>
      <c r="K86" s="13"/>
    </row>
    <row r="87" spans="1:14" x14ac:dyDescent="0.25">
      <c r="A87" s="7" t="s">
        <v>231</v>
      </c>
      <c r="B87" s="12"/>
      <c r="C87" s="17"/>
      <c r="D87" s="7"/>
      <c r="E87" s="7"/>
      <c r="F87" s="7"/>
      <c r="G87" s="7"/>
      <c r="H87" s="7"/>
      <c r="I87" s="7"/>
      <c r="J87" s="7">
        <v>496729.01998342201</v>
      </c>
      <c r="K87" s="7">
        <v>384438.98954999965</v>
      </c>
    </row>
    <row r="88" spans="1:14" x14ac:dyDescent="0.25">
      <c r="A88" s="7"/>
      <c r="B88" s="12"/>
      <c r="C88" s="17"/>
      <c r="D88" s="7"/>
      <c r="E88" s="7"/>
      <c r="F88" s="7"/>
      <c r="G88" s="7"/>
      <c r="H88" s="7"/>
      <c r="I88" s="7"/>
      <c r="J88" s="7"/>
      <c r="K88" s="7"/>
    </row>
    <row r="89" spans="1:14" x14ac:dyDescent="0.25">
      <c r="A89" s="119" t="s">
        <v>230</v>
      </c>
      <c r="B89" s="119"/>
      <c r="C89" s="156" t="s">
        <v>61</v>
      </c>
      <c r="D89" s="119">
        <f>D72-D86</f>
        <v>13750513.942477595</v>
      </c>
      <c r="E89" s="119">
        <f>E72-E86</f>
        <v>13723873.84569158</v>
      </c>
      <c r="F89" s="119">
        <f>F72-F86-F77</f>
        <v>13275337.394336749</v>
      </c>
      <c r="G89" s="119">
        <f>G72-G86-G77</f>
        <v>13396112.744245829</v>
      </c>
      <c r="H89" s="119">
        <f>H72-H86-H77</f>
        <v>13658183.770638997</v>
      </c>
      <c r="I89" s="119">
        <f>I72-I86-I77</f>
        <v>15734281.643538671</v>
      </c>
      <c r="J89" s="119">
        <f>J73+J74+J75+J76+J79+J82+J83-J87</f>
        <v>17299767.061674129</v>
      </c>
      <c r="K89" s="119">
        <f>K73+K74+K75+K76+K79+K82+K83-K87</f>
        <v>17986209.983293179</v>
      </c>
      <c r="L89" s="2"/>
      <c r="M89" s="2"/>
      <c r="N89" s="2"/>
    </row>
    <row r="90" spans="1:14" x14ac:dyDescent="0.25">
      <c r="A90" s="12" t="s">
        <v>103</v>
      </c>
      <c r="B90" s="12"/>
      <c r="C90" s="17"/>
      <c r="D90" s="7">
        <v>8336061.0078534</v>
      </c>
      <c r="E90" s="7">
        <v>8304116.0777313188</v>
      </c>
      <c r="F90" s="7">
        <v>8404127.4712164924</v>
      </c>
      <c r="G90" s="7">
        <v>8230277.1431140359</v>
      </c>
      <c r="H90" s="7">
        <v>8202366.1579023805</v>
      </c>
      <c r="I90" s="7">
        <v>9775880.0150844809</v>
      </c>
      <c r="J90" s="7">
        <v>10833531.183842421</v>
      </c>
      <c r="K90" s="7">
        <v>11319561.528455621</v>
      </c>
      <c r="L90" s="112"/>
    </row>
    <row r="91" spans="1:14" x14ac:dyDescent="0.25">
      <c r="A91" s="12" t="s">
        <v>104</v>
      </c>
      <c r="B91" s="12"/>
      <c r="C91" s="17"/>
      <c r="D91" s="7">
        <v>5414452.9346241904</v>
      </c>
      <c r="E91" s="7">
        <v>5419757.7679602597</v>
      </c>
      <c r="F91" s="7">
        <v>4871209.9233869193</v>
      </c>
      <c r="G91" s="7">
        <v>5165835.601136623</v>
      </c>
      <c r="H91" s="7">
        <v>5455817.6127366275</v>
      </c>
      <c r="I91" s="7">
        <v>5958401.6271257242</v>
      </c>
      <c r="J91" s="7">
        <v>6466235.8782074889</v>
      </c>
      <c r="K91" s="7">
        <v>6666648.4548375495</v>
      </c>
    </row>
    <row r="92" spans="1:14" x14ac:dyDescent="0.25">
      <c r="A92" s="21"/>
      <c r="B92" s="21"/>
      <c r="C92" s="17"/>
      <c r="D92" s="7"/>
      <c r="E92" s="7"/>
      <c r="F92" s="7"/>
      <c r="G92" s="7"/>
      <c r="H92" s="6"/>
      <c r="I92" s="6"/>
      <c r="J92" s="6"/>
      <c r="K92" s="6"/>
    </row>
    <row r="93" spans="1:14" x14ac:dyDescent="0.25">
      <c r="A93" s="138" t="s">
        <v>73</v>
      </c>
      <c r="B93" s="138"/>
      <c r="C93" s="17"/>
      <c r="D93" s="7"/>
      <c r="E93" s="7"/>
      <c r="F93" s="7"/>
      <c r="G93" s="7"/>
      <c r="H93" s="6"/>
      <c r="I93" s="6"/>
      <c r="J93" s="6"/>
      <c r="K93" s="6"/>
    </row>
    <row r="94" spans="1:14" x14ac:dyDescent="0.25">
      <c r="A94" s="12" t="s">
        <v>105</v>
      </c>
      <c r="B94" s="12"/>
      <c r="C94" s="41" t="s">
        <v>74</v>
      </c>
      <c r="D94" s="7">
        <f t="shared" ref="D94:K94" si="16">((D72-D77)*1000)/D41/12</f>
        <v>101.37245987513653</v>
      </c>
      <c r="E94" s="7">
        <f t="shared" si="16"/>
        <v>102.37288725459864</v>
      </c>
      <c r="F94" s="7">
        <f t="shared" si="16"/>
        <v>105.46459355883083</v>
      </c>
      <c r="G94" s="7">
        <f t="shared" si="16"/>
        <v>104.99332939192375</v>
      </c>
      <c r="H94" s="7">
        <f t="shared" si="16"/>
        <v>111.60952837552145</v>
      </c>
      <c r="I94" s="7">
        <f t="shared" si="16"/>
        <v>118.01254738675114</v>
      </c>
      <c r="J94" s="7">
        <f t="shared" si="16"/>
        <v>124.31032789164693</v>
      </c>
      <c r="K94" s="7">
        <f t="shared" si="16"/>
        <v>128.31646699308166</v>
      </c>
      <c r="L94" s="2"/>
    </row>
    <row r="95" spans="1:14" x14ac:dyDescent="0.25">
      <c r="A95" s="12" t="s">
        <v>106</v>
      </c>
      <c r="B95" s="12"/>
      <c r="C95" s="17"/>
      <c r="D95" s="7"/>
      <c r="E95" s="7">
        <f t="shared" ref="E95:K97" si="17">(E89*1000)/E42/12</f>
        <v>110.42306965946904</v>
      </c>
      <c r="F95" s="7">
        <f t="shared" si="17"/>
        <v>108.7065833166548</v>
      </c>
      <c r="G95" s="7">
        <f t="shared" si="17"/>
        <v>110.71875059194549</v>
      </c>
      <c r="H95" s="7">
        <f t="shared" si="17"/>
        <v>115.20641231578099</v>
      </c>
      <c r="I95" s="7">
        <f t="shared" si="17"/>
        <v>129.83366688567079</v>
      </c>
      <c r="J95" s="7">
        <f t="shared" si="17"/>
        <v>137.72116535068844</v>
      </c>
      <c r="K95" s="7">
        <f t="shared" si="17"/>
        <v>143.16853879110633</v>
      </c>
    </row>
    <row r="96" spans="1:14" x14ac:dyDescent="0.25">
      <c r="A96" s="21" t="s">
        <v>107</v>
      </c>
      <c r="B96" s="21"/>
      <c r="C96" s="17"/>
      <c r="D96" s="7"/>
      <c r="E96" s="6">
        <f t="shared" si="17"/>
        <v>86.509343674936062</v>
      </c>
      <c r="F96" s="6">
        <f t="shared" si="17"/>
        <v>90.003441858089786</v>
      </c>
      <c r="G96" s="6">
        <f t="shared" si="17"/>
        <v>90.019207057832944</v>
      </c>
      <c r="H96" s="6">
        <f t="shared" si="17"/>
        <v>92.736620037247874</v>
      </c>
      <c r="I96" s="6">
        <f t="shared" si="17"/>
        <v>109.90667256460453</v>
      </c>
      <c r="J96" s="6">
        <f t="shared" si="17"/>
        <v>119.42604564201984</v>
      </c>
      <c r="K96" s="6">
        <f t="shared" si="17"/>
        <v>125.77240278211798</v>
      </c>
      <c r="L96" s="2"/>
    </row>
    <row r="97" spans="1:13" x14ac:dyDescent="0.25">
      <c r="A97" s="21" t="s">
        <v>108</v>
      </c>
      <c r="B97" s="21"/>
      <c r="C97" s="17"/>
      <c r="D97" s="7"/>
      <c r="E97" s="6">
        <f t="shared" si="17"/>
        <v>191.5548216240712</v>
      </c>
      <c r="F97" s="6">
        <f t="shared" si="17"/>
        <v>169.4616837922616</v>
      </c>
      <c r="G97" s="6">
        <f t="shared" si="17"/>
        <v>174.73247428031414</v>
      </c>
      <c r="H97" s="6">
        <f t="shared" si="17"/>
        <v>181.21997448142906</v>
      </c>
      <c r="I97" s="6">
        <f t="shared" si="17"/>
        <v>184.80883305355584</v>
      </c>
      <c r="J97" s="6">
        <f t="shared" si="17"/>
        <v>185.27293433106271</v>
      </c>
      <c r="K97" s="6">
        <f t="shared" si="17"/>
        <v>187.11158559476215</v>
      </c>
    </row>
    <row r="98" spans="1:13" x14ac:dyDescent="0.25">
      <c r="A98" s="97"/>
      <c r="B98" s="96"/>
      <c r="C98" s="17"/>
      <c r="D98" s="7"/>
      <c r="E98" s="6"/>
      <c r="F98" s="6"/>
      <c r="G98" s="6"/>
      <c r="H98" s="6"/>
      <c r="I98" s="6"/>
      <c r="J98" s="6"/>
      <c r="K98" s="6"/>
    </row>
    <row r="99" spans="1:13" x14ac:dyDescent="0.25">
      <c r="A99" s="119" t="s">
        <v>237</v>
      </c>
      <c r="B99" s="119"/>
      <c r="C99" s="156" t="s">
        <v>61</v>
      </c>
      <c r="D99" s="119"/>
      <c r="E99" s="153"/>
      <c r="F99" s="153"/>
      <c r="G99" s="119">
        <v>505558.94990873896</v>
      </c>
      <c r="H99" s="119">
        <v>608431.82783333294</v>
      </c>
      <c r="I99" s="119">
        <v>924931.20299512194</v>
      </c>
      <c r="J99" s="119">
        <v>1205912.804840958</v>
      </c>
      <c r="K99" s="119">
        <v>1127887.6459999999</v>
      </c>
    </row>
    <row r="100" spans="1:13" x14ac:dyDescent="0.25">
      <c r="A100" s="97"/>
      <c r="B100" s="96"/>
      <c r="C100" s="17"/>
      <c r="D100" s="7"/>
      <c r="E100" s="7"/>
      <c r="F100" s="7"/>
      <c r="G100" s="6"/>
      <c r="H100" s="6"/>
      <c r="I100" s="6"/>
      <c r="J100" s="6"/>
      <c r="K100" s="6"/>
    </row>
    <row r="101" spans="1:13" x14ac:dyDescent="0.25">
      <c r="A101" s="135" t="s">
        <v>64</v>
      </c>
      <c r="B101" s="135"/>
      <c r="C101" s="151"/>
      <c r="D101" s="154"/>
      <c r="E101" s="154"/>
      <c r="F101" s="154"/>
      <c r="G101" s="154"/>
      <c r="H101" s="154"/>
      <c r="I101" s="154"/>
      <c r="J101" s="154"/>
      <c r="K101" s="154"/>
    </row>
    <row r="102" spans="1:13" x14ac:dyDescent="0.25">
      <c r="A102" s="119" t="s">
        <v>166</v>
      </c>
      <c r="B102" s="119"/>
      <c r="C102" s="156" t="s">
        <v>62</v>
      </c>
      <c r="D102" s="142">
        <f t="shared" ref="D102:K102" si="18">D103+D104+D105</f>
        <v>25406738.411804304</v>
      </c>
      <c r="E102" s="142">
        <f t="shared" si="18"/>
        <v>25986049.716722474</v>
      </c>
      <c r="F102" s="142">
        <f t="shared" si="18"/>
        <v>24967617.648191843</v>
      </c>
      <c r="G102" s="142">
        <f t="shared" si="18"/>
        <v>24570433.130621608</v>
      </c>
      <c r="H102" s="142">
        <f t="shared" si="18"/>
        <v>23457251.999000002</v>
      </c>
      <c r="I102" s="142">
        <f t="shared" si="18"/>
        <v>22464212.922835786</v>
      </c>
      <c r="J102" s="142">
        <f t="shared" si="18"/>
        <v>20466081.119631834</v>
      </c>
      <c r="K102" s="142">
        <f t="shared" si="18"/>
        <v>17838684.594970003</v>
      </c>
    </row>
    <row r="103" spans="1:13" x14ac:dyDescent="0.25">
      <c r="A103" s="12" t="s">
        <v>109</v>
      </c>
      <c r="B103" s="12"/>
      <c r="C103" s="17"/>
      <c r="D103" s="20">
        <v>24601535.412804302</v>
      </c>
      <c r="E103" s="20">
        <v>24963182.875722475</v>
      </c>
      <c r="F103" s="20">
        <v>24050688.26419184</v>
      </c>
      <c r="G103" s="20">
        <v>23601937.998999998</v>
      </c>
      <c r="H103" s="20">
        <v>22506603.182999998</v>
      </c>
      <c r="I103" s="20">
        <v>21104514.508000001</v>
      </c>
      <c r="J103" s="20">
        <v>19020662.07</v>
      </c>
      <c r="K103" s="20">
        <v>16691065.904970001</v>
      </c>
    </row>
    <row r="104" spans="1:13" x14ac:dyDescent="0.25">
      <c r="A104" s="12" t="s">
        <v>110</v>
      </c>
      <c r="B104" s="12"/>
      <c r="C104" s="17"/>
      <c r="D104" s="7">
        <v>427970.11299999995</v>
      </c>
      <c r="E104" s="7">
        <v>613710.07700000005</v>
      </c>
      <c r="F104" s="7">
        <v>514240.46600000007</v>
      </c>
      <c r="G104" s="7">
        <v>562339.12599999993</v>
      </c>
      <c r="H104" s="7">
        <v>541700.13500000001</v>
      </c>
      <c r="I104" s="7">
        <v>710434.85900000005</v>
      </c>
      <c r="J104" s="7">
        <v>722795.66300000018</v>
      </c>
      <c r="K104" s="7">
        <v>599577.2281712062</v>
      </c>
    </row>
    <row r="105" spans="1:13" x14ac:dyDescent="0.25">
      <c r="A105" s="12" t="s">
        <v>111</v>
      </c>
      <c r="B105" s="12"/>
      <c r="C105" s="17"/>
      <c r="D105" s="7">
        <v>377232.886</v>
      </c>
      <c r="E105" s="7">
        <v>409156.76400000002</v>
      </c>
      <c r="F105" s="7">
        <v>402688.91800000001</v>
      </c>
      <c r="G105" s="7">
        <v>406156.00562161102</v>
      </c>
      <c r="H105" s="7">
        <v>408948.68100000004</v>
      </c>
      <c r="I105" s="7">
        <v>649263.55583578499</v>
      </c>
      <c r="J105" s="7">
        <v>722623.38663183595</v>
      </c>
      <c r="K105" s="7">
        <v>548041.46182879398</v>
      </c>
    </row>
    <row r="106" spans="1:13" x14ac:dyDescent="0.25">
      <c r="A106" s="21"/>
      <c r="B106" s="21"/>
      <c r="C106" s="17"/>
      <c r="D106" s="7"/>
      <c r="E106" s="7"/>
      <c r="F106" s="7"/>
      <c r="G106" s="7"/>
      <c r="H106" s="7"/>
      <c r="I106" s="7"/>
      <c r="J106" s="7"/>
      <c r="K106" s="7"/>
    </row>
    <row r="107" spans="1:13" x14ac:dyDescent="0.25">
      <c r="A107" s="21"/>
      <c r="B107" s="21"/>
      <c r="C107" s="17"/>
      <c r="D107" s="7"/>
      <c r="E107" s="7"/>
      <c r="F107" s="7"/>
      <c r="G107" s="6"/>
      <c r="H107" s="6"/>
      <c r="I107" s="6"/>
      <c r="J107" s="6"/>
      <c r="K107" s="6"/>
    </row>
    <row r="108" spans="1:13" x14ac:dyDescent="0.25">
      <c r="A108" s="119" t="s">
        <v>77</v>
      </c>
      <c r="B108" s="119"/>
      <c r="C108" s="156" t="s">
        <v>62</v>
      </c>
      <c r="D108" s="7"/>
      <c r="E108" s="7"/>
      <c r="F108" s="7"/>
      <c r="G108" s="6"/>
      <c r="H108" s="6"/>
      <c r="I108" s="6"/>
      <c r="J108" s="6"/>
      <c r="K108" s="6"/>
    </row>
    <row r="109" spans="1:13" x14ac:dyDescent="0.25">
      <c r="A109" s="7" t="s">
        <v>112</v>
      </c>
      <c r="B109" s="7"/>
      <c r="C109" s="17"/>
      <c r="D109" s="7">
        <v>995744.90899999999</v>
      </c>
      <c r="E109" s="7">
        <v>2384791.0559999999</v>
      </c>
      <c r="F109" s="7">
        <v>2862029.8823573003</v>
      </c>
      <c r="G109" s="7">
        <v>3062649.3110000002</v>
      </c>
      <c r="H109" s="7"/>
      <c r="I109" s="7"/>
      <c r="J109" s="7"/>
      <c r="K109" s="7"/>
    </row>
    <row r="110" spans="1:13" x14ac:dyDescent="0.25">
      <c r="A110" s="7" t="s">
        <v>113</v>
      </c>
      <c r="B110" s="7"/>
      <c r="C110" s="17"/>
      <c r="D110" s="7"/>
      <c r="E110" s="7"/>
      <c r="F110" s="7"/>
      <c r="G110" s="20"/>
      <c r="H110" s="20">
        <v>2900115.2319999998</v>
      </c>
      <c r="I110" s="20">
        <v>1250076.3459999999</v>
      </c>
      <c r="J110" s="20">
        <v>846508.52799999993</v>
      </c>
      <c r="K110" s="20">
        <v>549841.74800000002</v>
      </c>
    </row>
    <row r="111" spans="1:13" x14ac:dyDescent="0.25">
      <c r="A111" s="21" t="s">
        <v>60</v>
      </c>
      <c r="B111" s="21"/>
      <c r="C111" s="17"/>
      <c r="D111" s="7"/>
      <c r="E111" s="7"/>
      <c r="F111" s="7"/>
      <c r="G111" s="6"/>
      <c r="H111" s="6"/>
      <c r="I111" s="6"/>
      <c r="J111" s="6"/>
      <c r="K111" s="6"/>
    </row>
    <row r="112" spans="1:13" x14ac:dyDescent="0.25">
      <c r="A112" s="119" t="s">
        <v>205</v>
      </c>
      <c r="B112" s="119"/>
      <c r="C112" s="156" t="s">
        <v>62</v>
      </c>
      <c r="D112" s="142">
        <f>D102-D109</f>
        <v>24410993.502804302</v>
      </c>
      <c r="E112" s="142">
        <f>E102-E109</f>
        <v>23601258.660722472</v>
      </c>
      <c r="F112" s="142">
        <f>F102-F109</f>
        <v>22105587.765834544</v>
      </c>
      <c r="G112" s="142">
        <f>G102-G109</f>
        <v>21507783.819621608</v>
      </c>
      <c r="H112" s="142">
        <f>H102-H104-H110</f>
        <v>20015436.631999999</v>
      </c>
      <c r="I112" s="142">
        <f>I102-I104-I110</f>
        <v>20503701.717835784</v>
      </c>
      <c r="J112" s="142">
        <f>J102-J104-J110</f>
        <v>18896776.928631835</v>
      </c>
      <c r="K112" s="142">
        <f>K102-K104-K110</f>
        <v>16689265.618798796</v>
      </c>
      <c r="L112" s="2"/>
      <c r="M112" s="2"/>
    </row>
    <row r="113" spans="1:13" x14ac:dyDescent="0.25">
      <c r="A113" s="12" t="s">
        <v>75</v>
      </c>
      <c r="B113" s="12"/>
      <c r="C113" s="17"/>
      <c r="D113" s="7"/>
      <c r="E113" s="7"/>
      <c r="F113" s="7"/>
      <c r="G113" s="6"/>
      <c r="H113" s="7">
        <v>16915948.76144838</v>
      </c>
      <c r="I113" s="7">
        <v>17235708.978269771</v>
      </c>
      <c r="J113" s="7">
        <v>15738107.055700712</v>
      </c>
      <c r="K113" s="7">
        <v>13637850.207528748</v>
      </c>
      <c r="L113" s="32"/>
    </row>
    <row r="114" spans="1:13" x14ac:dyDescent="0.25">
      <c r="A114" s="12" t="s">
        <v>76</v>
      </c>
      <c r="B114" s="12"/>
      <c r="C114" s="17"/>
      <c r="D114" s="7"/>
      <c r="E114" s="7"/>
      <c r="F114" s="7"/>
      <c r="G114" s="6"/>
      <c r="H114" s="7">
        <v>3099487.8705516206</v>
      </c>
      <c r="I114" s="7">
        <v>3267992.7397302296</v>
      </c>
      <c r="J114" s="7">
        <v>3158669.8729311302</v>
      </c>
      <c r="K114" s="7">
        <v>3051415.411270041</v>
      </c>
    </row>
    <row r="115" spans="1:13" x14ac:dyDescent="0.25">
      <c r="A115" s="21"/>
      <c r="B115" s="21"/>
      <c r="C115" s="17"/>
      <c r="D115" s="7"/>
      <c r="E115" s="7"/>
      <c r="F115" s="7"/>
      <c r="G115" s="6"/>
      <c r="H115" s="6"/>
      <c r="I115" s="6"/>
      <c r="J115" s="6"/>
      <c r="K115" s="6"/>
    </row>
    <row r="116" spans="1:13" x14ac:dyDescent="0.25">
      <c r="A116" s="138" t="s">
        <v>78</v>
      </c>
      <c r="B116" s="138"/>
      <c r="C116" s="17"/>
      <c r="D116" s="7"/>
      <c r="E116" s="7"/>
      <c r="F116" s="7"/>
      <c r="G116" s="6"/>
      <c r="H116" s="6"/>
      <c r="I116" s="6"/>
      <c r="J116" s="6"/>
      <c r="K116" s="6"/>
    </row>
    <row r="117" spans="1:13" x14ac:dyDescent="0.25">
      <c r="A117" s="12" t="s">
        <v>211</v>
      </c>
      <c r="B117" s="12"/>
      <c r="C117" s="41" t="s">
        <v>79</v>
      </c>
      <c r="D117" s="7">
        <f t="shared" ref="D117:K117" si="19">((D102)*1000)/D41/12</f>
        <v>170.6801496425206</v>
      </c>
      <c r="E117" s="7">
        <f t="shared" si="19"/>
        <v>175.86144201493337</v>
      </c>
      <c r="F117" s="7">
        <f t="shared" si="19"/>
        <v>166.12690990012743</v>
      </c>
      <c r="G117" s="7">
        <f t="shared" si="19"/>
        <v>160.53557756299196</v>
      </c>
      <c r="H117" s="7">
        <f t="shared" si="19"/>
        <v>154.37535001932812</v>
      </c>
      <c r="I117" s="7">
        <f t="shared" si="19"/>
        <v>152.74352292984503</v>
      </c>
      <c r="J117" s="7">
        <f t="shared" si="19"/>
        <v>142.85277921215263</v>
      </c>
      <c r="K117" s="7">
        <f t="shared" si="19"/>
        <v>124.54619563515502</v>
      </c>
    </row>
    <row r="118" spans="1:13" x14ac:dyDescent="0.25">
      <c r="A118" s="12" t="s">
        <v>114</v>
      </c>
      <c r="B118" s="12"/>
      <c r="C118" s="41" t="s">
        <v>79</v>
      </c>
      <c r="D118" s="7"/>
      <c r="E118" s="7"/>
      <c r="F118" s="7"/>
      <c r="G118" s="6"/>
      <c r="H118" s="7">
        <f t="shared" ref="H118:K120" si="20">(H112*1000)/H42/12</f>
        <v>168.82966901233146</v>
      </c>
      <c r="I118" s="7">
        <f t="shared" si="20"/>
        <v>169.18921620103544</v>
      </c>
      <c r="J118" s="7">
        <f t="shared" si="20"/>
        <v>150.43475040474516</v>
      </c>
      <c r="K118" s="7">
        <f t="shared" si="20"/>
        <v>132.84498370470988</v>
      </c>
    </row>
    <row r="119" spans="1:13" x14ac:dyDescent="0.25">
      <c r="A119" s="21" t="s">
        <v>115</v>
      </c>
      <c r="B119" s="21"/>
      <c r="C119" s="17"/>
      <c r="D119" s="7"/>
      <c r="E119" s="7"/>
      <c r="F119" s="7"/>
      <c r="G119" s="6"/>
      <c r="H119" s="6">
        <f t="shared" si="20"/>
        <v>191.25309485832179</v>
      </c>
      <c r="I119" s="6">
        <f t="shared" si="20"/>
        <v>193.77482335815475</v>
      </c>
      <c r="J119" s="6">
        <f t="shared" si="20"/>
        <v>173.49282146862063</v>
      </c>
      <c r="K119" s="6">
        <f t="shared" si="20"/>
        <v>151.53106284829025</v>
      </c>
    </row>
    <row r="120" spans="1:13" x14ac:dyDescent="0.25">
      <c r="A120" s="21" t="s">
        <v>116</v>
      </c>
      <c r="B120" s="21"/>
      <c r="C120" s="17"/>
      <c r="D120" s="7"/>
      <c r="E120" s="7"/>
      <c r="F120" s="7"/>
      <c r="G120" s="6"/>
      <c r="H120" s="6">
        <f t="shared" si="20"/>
        <v>102.95232587973582</v>
      </c>
      <c r="I120" s="6">
        <f t="shared" si="20"/>
        <v>101.3617346483537</v>
      </c>
      <c r="J120" s="6">
        <f t="shared" si="20"/>
        <v>90.503354186841662</v>
      </c>
      <c r="K120" s="6">
        <f t="shared" si="20"/>
        <v>85.643510345400912</v>
      </c>
      <c r="L120" s="2"/>
    </row>
    <row r="121" spans="1:13" x14ac:dyDescent="0.25">
      <c r="A121" s="21"/>
      <c r="B121" s="21"/>
      <c r="C121" s="17"/>
      <c r="D121" s="7"/>
      <c r="E121" s="7"/>
      <c r="F121" s="7"/>
      <c r="G121" s="6"/>
      <c r="H121" s="6"/>
      <c r="I121" s="6"/>
      <c r="J121" s="6"/>
      <c r="K121" s="6"/>
    </row>
    <row r="122" spans="1:13" x14ac:dyDescent="0.25">
      <c r="A122" s="135" t="s">
        <v>63</v>
      </c>
      <c r="B122" s="135"/>
      <c r="C122" s="151"/>
      <c r="D122" s="154"/>
      <c r="E122" s="154"/>
      <c r="F122" s="154"/>
      <c r="G122" s="154"/>
      <c r="H122" s="154"/>
      <c r="I122" s="154"/>
      <c r="J122" s="154"/>
      <c r="K122" s="154"/>
    </row>
    <row r="123" spans="1:13" x14ac:dyDescent="0.25">
      <c r="A123" s="119" t="s">
        <v>81</v>
      </c>
      <c r="B123" s="119"/>
      <c r="C123" s="156" t="s">
        <v>30</v>
      </c>
      <c r="D123" s="142">
        <f t="shared" ref="D123:K123" si="21">D124+D125</f>
        <v>3857896564.0766773</v>
      </c>
      <c r="E123" s="142">
        <f t="shared" si="21"/>
        <v>10398925144.025473</v>
      </c>
      <c r="F123" s="142">
        <f t="shared" si="21"/>
        <v>24015223913.469517</v>
      </c>
      <c r="G123" s="142">
        <f t="shared" si="21"/>
        <v>44529120391.968567</v>
      </c>
      <c r="H123" s="142">
        <f t="shared" si="21"/>
        <v>78411434347.051758</v>
      </c>
      <c r="I123" s="142">
        <f t="shared" si="21"/>
        <v>127838726204.50749</v>
      </c>
      <c r="J123" s="142">
        <f t="shared" si="21"/>
        <v>203511092479.86792</v>
      </c>
      <c r="K123" s="142">
        <f t="shared" si="21"/>
        <v>324195364648.66443</v>
      </c>
      <c r="L123" s="107"/>
      <c r="M123" s="107"/>
    </row>
    <row r="124" spans="1:13" x14ac:dyDescent="0.25">
      <c r="A124" s="12" t="s">
        <v>117</v>
      </c>
      <c r="B124" s="12"/>
      <c r="C124" s="17"/>
      <c r="D124" s="7">
        <v>3839895543.1386528</v>
      </c>
      <c r="E124" s="7">
        <v>10321807282.12509</v>
      </c>
      <c r="F124" s="7">
        <v>23794317627.469517</v>
      </c>
      <c r="G124" s="7">
        <v>44096450672.937958</v>
      </c>
      <c r="H124" s="7">
        <v>76354160177.772186</v>
      </c>
      <c r="I124" s="7">
        <v>120580688263.70436</v>
      </c>
      <c r="J124" s="7">
        <v>186977341999.38239</v>
      </c>
      <c r="K124" s="7">
        <v>300121933938.6311</v>
      </c>
      <c r="L124" s="32"/>
    </row>
    <row r="125" spans="1:13" x14ac:dyDescent="0.25">
      <c r="A125" s="12" t="s">
        <v>118</v>
      </c>
      <c r="B125" s="12"/>
      <c r="C125" s="17"/>
      <c r="D125" s="7">
        <v>18001020.93802454</v>
      </c>
      <c r="E125" s="7">
        <v>77117861.900383607</v>
      </c>
      <c r="F125" s="7">
        <v>220906286</v>
      </c>
      <c r="G125" s="7">
        <v>432669719.03061247</v>
      </c>
      <c r="H125" s="7">
        <v>2057274169.2795739</v>
      </c>
      <c r="I125" s="7">
        <v>7258037940.803134</v>
      </c>
      <c r="J125" s="7">
        <v>16533750480.485529</v>
      </c>
      <c r="K125" s="7">
        <v>24073430710.033298</v>
      </c>
      <c r="L125" s="32"/>
    </row>
    <row r="126" spans="1:13" x14ac:dyDescent="0.25">
      <c r="A126" s="21"/>
      <c r="B126" s="21"/>
      <c r="C126" s="17"/>
      <c r="D126" s="7"/>
      <c r="E126" s="7"/>
      <c r="F126" s="7"/>
      <c r="G126" s="6"/>
      <c r="H126" s="6"/>
      <c r="I126" s="6"/>
      <c r="J126" s="6"/>
      <c r="K126" s="6"/>
    </row>
    <row r="127" spans="1:13" x14ac:dyDescent="0.25">
      <c r="A127" s="119" t="s">
        <v>80</v>
      </c>
      <c r="B127" s="119"/>
      <c r="C127" s="156" t="s">
        <v>30</v>
      </c>
      <c r="D127" s="142">
        <v>706392060.17497206</v>
      </c>
      <c r="E127" s="142">
        <v>2121539454.75</v>
      </c>
      <c r="F127" s="142">
        <v>5112029376.1367207</v>
      </c>
      <c r="G127" s="142">
        <v>7986885601.4087105</v>
      </c>
      <c r="H127" s="142">
        <v>14936128051.035751</v>
      </c>
      <c r="I127" s="142">
        <v>10928188250.218174</v>
      </c>
      <c r="J127" s="142">
        <v>8879353575.5523205</v>
      </c>
      <c r="K127" s="142">
        <v>21359292931.40089</v>
      </c>
    </row>
    <row r="128" spans="1:13" x14ac:dyDescent="0.25">
      <c r="A128" s="21"/>
      <c r="B128" s="21"/>
      <c r="C128" s="17"/>
      <c r="D128" s="7"/>
      <c r="E128" s="7"/>
      <c r="F128" s="7"/>
      <c r="G128" s="6"/>
      <c r="H128" s="6"/>
      <c r="I128" s="6"/>
      <c r="J128" s="6"/>
      <c r="K128" s="6"/>
    </row>
    <row r="129" spans="1:13" x14ac:dyDescent="0.25">
      <c r="A129" s="119" t="s">
        <v>82</v>
      </c>
      <c r="B129" s="119"/>
      <c r="C129" s="156" t="s">
        <v>30</v>
      </c>
      <c r="D129" s="142">
        <f t="shared" ref="D129:K129" si="22">D124+D125-D127</f>
        <v>3151504503.9017053</v>
      </c>
      <c r="E129" s="142">
        <f t="shared" si="22"/>
        <v>8277385689.2754726</v>
      </c>
      <c r="F129" s="142">
        <f t="shared" si="22"/>
        <v>18903194537.332794</v>
      </c>
      <c r="G129" s="142">
        <f t="shared" si="22"/>
        <v>36542234790.55986</v>
      </c>
      <c r="H129" s="142">
        <f t="shared" si="22"/>
        <v>63475306296.016006</v>
      </c>
      <c r="I129" s="142">
        <f t="shared" si="22"/>
        <v>116910537954.28932</v>
      </c>
      <c r="J129" s="142">
        <f t="shared" si="22"/>
        <v>194631738904.31561</v>
      </c>
      <c r="K129" s="142">
        <f t="shared" si="22"/>
        <v>302836071717.26355</v>
      </c>
    </row>
    <row r="130" spans="1:13" x14ac:dyDescent="0.25">
      <c r="A130" s="12" t="s">
        <v>75</v>
      </c>
      <c r="B130" s="12"/>
      <c r="C130" s="17"/>
      <c r="D130" s="7"/>
      <c r="E130" s="7">
        <v>5556145760.4144802</v>
      </c>
      <c r="F130" s="7">
        <v>13211329866.99296</v>
      </c>
      <c r="G130" s="8">
        <v>25850754777.70171</v>
      </c>
      <c r="H130" s="8">
        <v>43396684066.43914</v>
      </c>
      <c r="I130" s="8">
        <v>80698616644.84845</v>
      </c>
      <c r="J130" s="8">
        <v>138477002292.31598</v>
      </c>
      <c r="K130" s="8">
        <v>217678284777.03778</v>
      </c>
      <c r="L130" s="32"/>
    </row>
    <row r="131" spans="1:13" x14ac:dyDescent="0.25">
      <c r="A131" s="12" t="s">
        <v>76</v>
      </c>
      <c r="B131" s="12"/>
      <c r="C131" s="17"/>
      <c r="D131" s="7"/>
      <c r="E131" s="7">
        <v>2721239928.8609929</v>
      </c>
      <c r="F131" s="7">
        <v>5691864670.3398504</v>
      </c>
      <c r="G131" s="8">
        <v>10691480012.85816</v>
      </c>
      <c r="H131" s="8">
        <v>20078622229.726841</v>
      </c>
      <c r="I131" s="8">
        <v>36211921310.203522</v>
      </c>
      <c r="J131" s="8">
        <v>56154736611.828812</v>
      </c>
      <c r="K131" s="8">
        <v>85157786940.2258</v>
      </c>
    </row>
    <row r="132" spans="1:13" x14ac:dyDescent="0.25">
      <c r="A132" s="21"/>
      <c r="B132" s="21"/>
      <c r="C132" s="17"/>
      <c r="D132" s="7"/>
      <c r="E132" s="7"/>
      <c r="F132" s="7"/>
      <c r="G132" s="6"/>
      <c r="H132" s="6"/>
      <c r="I132" s="6"/>
      <c r="J132" s="6"/>
      <c r="K132" s="6"/>
    </row>
    <row r="133" spans="1:13" x14ac:dyDescent="0.25">
      <c r="A133" s="12" t="s">
        <v>119</v>
      </c>
      <c r="B133" s="12"/>
      <c r="C133" s="41" t="s">
        <v>30</v>
      </c>
      <c r="D133" s="7"/>
      <c r="E133" s="7"/>
      <c r="F133" s="7"/>
      <c r="G133" s="22" t="s">
        <v>58</v>
      </c>
      <c r="H133" s="7">
        <v>21039762194.995369</v>
      </c>
      <c r="I133" s="7">
        <v>22607207932.044731</v>
      </c>
      <c r="J133" s="7">
        <v>20781988690.307106</v>
      </c>
      <c r="K133" s="7">
        <v>25810941281.280472</v>
      </c>
      <c r="L133" s="32"/>
      <c r="M133" s="2"/>
    </row>
    <row r="134" spans="1:13" x14ac:dyDescent="0.25">
      <c r="A134" s="12" t="s">
        <v>120</v>
      </c>
      <c r="B134" s="12"/>
      <c r="C134" s="34"/>
      <c r="D134" s="7"/>
      <c r="E134" s="7"/>
      <c r="F134" s="7"/>
      <c r="G134" s="22" t="s">
        <v>58</v>
      </c>
      <c r="H134" s="7">
        <v>42435544101.170609</v>
      </c>
      <c r="I134" s="7">
        <v>94303330023.007263</v>
      </c>
      <c r="J134" s="7">
        <v>173849750213.83777</v>
      </c>
      <c r="K134" s="7">
        <v>277025130435.98279</v>
      </c>
      <c r="L134" s="32"/>
    </row>
    <row r="135" spans="1:13" x14ac:dyDescent="0.25">
      <c r="A135" s="21"/>
      <c r="B135" s="21"/>
      <c r="C135" s="34"/>
      <c r="D135" s="7"/>
      <c r="E135" s="7"/>
      <c r="F135" s="7"/>
      <c r="G135" s="6"/>
      <c r="H135" s="6"/>
      <c r="I135" s="6"/>
      <c r="J135" s="6"/>
      <c r="K135" s="6"/>
    </row>
    <row r="136" spans="1:13" x14ac:dyDescent="0.25">
      <c r="A136" s="12" t="s">
        <v>210</v>
      </c>
      <c r="B136" s="12"/>
      <c r="C136" s="41" t="s">
        <v>30</v>
      </c>
      <c r="D136" s="7"/>
      <c r="E136" s="7"/>
      <c r="F136" s="7"/>
      <c r="G136" s="22" t="s">
        <v>58</v>
      </c>
      <c r="H136" s="7">
        <v>59514767502.400002</v>
      </c>
      <c r="I136" s="7">
        <v>109339006458.94749</v>
      </c>
      <c r="J136" s="38">
        <v>178909532627.04761</v>
      </c>
      <c r="K136" s="38">
        <v>266778429548.57739</v>
      </c>
    </row>
    <row r="137" spans="1:13" x14ac:dyDescent="0.25">
      <c r="A137" s="12" t="s">
        <v>121</v>
      </c>
      <c r="B137" s="12"/>
      <c r="C137" s="17"/>
      <c r="D137" s="7"/>
      <c r="E137" s="7"/>
      <c r="F137" s="7"/>
      <c r="G137" s="22" t="s">
        <v>58</v>
      </c>
      <c r="H137" s="7">
        <v>3960538792.7659798</v>
      </c>
      <c r="I137" s="7">
        <v>7571531494.9594698</v>
      </c>
      <c r="J137" s="38">
        <v>15722206277.097328</v>
      </c>
      <c r="K137" s="38">
        <v>36057642168.38868</v>
      </c>
    </row>
    <row r="138" spans="1:13" x14ac:dyDescent="0.25">
      <c r="A138" s="12"/>
      <c r="B138" s="12"/>
      <c r="C138" s="17"/>
      <c r="D138" s="7"/>
      <c r="E138" s="7"/>
      <c r="F138" s="7"/>
      <c r="G138" s="22"/>
      <c r="H138" s="7"/>
      <c r="I138" s="7"/>
      <c r="J138" s="7"/>
      <c r="K138" s="7"/>
    </row>
    <row r="139" spans="1:13" x14ac:dyDescent="0.25">
      <c r="A139" s="12" t="s">
        <v>209</v>
      </c>
      <c r="B139" s="12"/>
      <c r="C139" s="41" t="s">
        <v>30</v>
      </c>
      <c r="D139" s="7"/>
      <c r="E139" s="7"/>
      <c r="F139" s="7"/>
      <c r="G139" s="22"/>
      <c r="H139" s="7">
        <v>7129349669.5740795</v>
      </c>
      <c r="I139" s="7">
        <v>8938248690.7434998</v>
      </c>
      <c r="J139" s="7">
        <v>8849791369.4368935</v>
      </c>
      <c r="K139" s="7">
        <v>12604483507.804371</v>
      </c>
      <c r="L139" s="2"/>
    </row>
    <row r="140" spans="1:13" x14ac:dyDescent="0.25">
      <c r="A140" s="12" t="s">
        <v>208</v>
      </c>
      <c r="B140" s="12"/>
      <c r="C140" s="17"/>
      <c r="D140" s="7"/>
      <c r="E140" s="7"/>
      <c r="F140" s="7"/>
      <c r="G140" s="22"/>
      <c r="H140" s="7">
        <v>56345956626.591904</v>
      </c>
      <c r="I140" s="7">
        <v>107972289263.30844</v>
      </c>
      <c r="J140" s="7">
        <v>185781947534.70801</v>
      </c>
      <c r="K140" s="7">
        <v>290231588209.45947</v>
      </c>
    </row>
    <row r="141" spans="1:13" x14ac:dyDescent="0.25">
      <c r="A141" s="21"/>
      <c r="B141" s="21"/>
      <c r="C141" s="17"/>
      <c r="D141" s="7"/>
      <c r="E141" s="7"/>
      <c r="F141" s="7"/>
      <c r="G141" s="7"/>
      <c r="H141" s="7"/>
      <c r="I141" s="7"/>
      <c r="J141" s="7"/>
      <c r="K141" s="7"/>
    </row>
    <row r="142" spans="1:13" x14ac:dyDescent="0.25">
      <c r="A142" s="119" t="s">
        <v>206</v>
      </c>
      <c r="B142" s="119"/>
      <c r="C142" s="156" t="s">
        <v>66</v>
      </c>
      <c r="D142" s="157"/>
      <c r="E142" s="158">
        <f>E129/(E49+E50+E54+E55)/12/1000</f>
        <v>0.13459788781858673</v>
      </c>
      <c r="F142" s="158">
        <f>F129/(F49+F50+F54+F55)/12/1000</f>
        <v>0.28464640268552371</v>
      </c>
      <c r="G142" s="158">
        <f>G129/(G49+G50+G54+G55)/12/1000</f>
        <v>0.48233530242716272</v>
      </c>
      <c r="H142" s="158">
        <f>H129/(H49+H50+H54+H55)/12/1000</f>
        <v>0.83971042262485796</v>
      </c>
      <c r="I142" s="158">
        <f>(I129/(I49+I50+I54+I55))/12/1000</f>
        <v>1.1729827443834171</v>
      </c>
      <c r="J142" s="158">
        <f>(J129/(J49+J50+J54+J55))/12/1000</f>
        <v>1.8646423258847524</v>
      </c>
      <c r="K142" s="158">
        <f>K129/K57/12/1000</f>
        <v>2.9069836832554605</v>
      </c>
      <c r="L142" s="111"/>
    </row>
    <row r="143" spans="1:13" x14ac:dyDescent="0.25">
      <c r="A143" s="12" t="s">
        <v>103</v>
      </c>
      <c r="B143" s="12"/>
      <c r="C143" s="17"/>
      <c r="D143" s="7"/>
      <c r="E143" s="31">
        <f>E130/(E49+E50)/12/1000</f>
        <v>0.12772699545469526</v>
      </c>
      <c r="F143" s="31">
        <f>F130/(F49+F50)/12/1000</f>
        <v>0.29012840231881187</v>
      </c>
      <c r="G143" s="31">
        <f>G130/(G49+G50)/12/1000</f>
        <v>0.49644730307128787</v>
      </c>
      <c r="H143" s="31">
        <f>H130/(H49+H50)/12/1000</f>
        <v>0.85403007176052159</v>
      </c>
      <c r="I143" s="31">
        <f>I130/(I49+I50)/12/1000</f>
        <v>1.1494930128265171</v>
      </c>
      <c r="J143" s="31">
        <f>J130/(J62)/12/1000</f>
        <v>1.9628990760611504</v>
      </c>
      <c r="K143" s="31">
        <f>K130/(K62)/12/1000</f>
        <v>2.9791074997820912</v>
      </c>
      <c r="L143" s="32"/>
      <c r="M143" s="111"/>
    </row>
    <row r="144" spans="1:13" x14ac:dyDescent="0.25">
      <c r="A144" s="12" t="s">
        <v>215</v>
      </c>
      <c r="B144" s="12"/>
      <c r="C144" s="17"/>
      <c r="D144" s="7"/>
      <c r="E144" s="31">
        <f>E131/(E54+E55)/12/1000</f>
        <v>0.15120539855479015</v>
      </c>
      <c r="F144" s="31">
        <f>F131/(F54+F55)/12/1000</f>
        <v>0.27268711419939567</v>
      </c>
      <c r="G144" s="31">
        <f>G131/(G54+G55)/12/1000</f>
        <v>0.45131603109545421</v>
      </c>
      <c r="H144" s="31">
        <f>H131/(H54+H55)/12/1000</f>
        <v>0.81034398515317441</v>
      </c>
      <c r="I144" s="31">
        <f>I131/(I54+I55)/12/1000</f>
        <v>1.2289481695176863</v>
      </c>
      <c r="J144" s="31">
        <f>J131/(J63)/12/1000</f>
        <v>1.8804618912866851</v>
      </c>
      <c r="K144" s="31">
        <f>K131/(K63)/12/1000</f>
        <v>2.7375699950231827</v>
      </c>
      <c r="L144" s="111"/>
    </row>
    <row r="145" spans="1:11" x14ac:dyDescent="0.25">
      <c r="A145" s="12"/>
      <c r="B145" s="12"/>
      <c r="C145" s="17"/>
      <c r="D145" s="7"/>
      <c r="E145" s="31"/>
      <c r="F145" s="31"/>
      <c r="G145" s="31"/>
      <c r="H145" s="31"/>
      <c r="I145" s="31"/>
      <c r="J145" s="31"/>
      <c r="K145" s="31"/>
    </row>
    <row r="146" spans="1:11" x14ac:dyDescent="0.25">
      <c r="A146" s="12" t="s">
        <v>122</v>
      </c>
      <c r="B146" s="12"/>
      <c r="C146" s="41" t="s">
        <v>66</v>
      </c>
      <c r="D146" s="7"/>
      <c r="E146" s="31"/>
      <c r="F146" s="31"/>
      <c r="G146" s="31"/>
      <c r="H146" s="116">
        <f t="shared" ref="H146:K147" si="23">H133/H58/12/1000</f>
        <v>0.77328618127103843</v>
      </c>
      <c r="I146" s="116">
        <f t="shared" si="23"/>
        <v>0.7658523553781309</v>
      </c>
      <c r="J146" s="116">
        <f t="shared" si="23"/>
        <v>0.9868570012137039</v>
      </c>
      <c r="K146" s="116">
        <f t="shared" si="23"/>
        <v>1.5600448039456314</v>
      </c>
    </row>
    <row r="147" spans="1:11" x14ac:dyDescent="0.25">
      <c r="A147" s="12" t="s">
        <v>123</v>
      </c>
      <c r="B147" s="12"/>
      <c r="C147" s="17"/>
      <c r="D147" s="7"/>
      <c r="E147" s="31"/>
      <c r="F147" s="31"/>
      <c r="G147" s="31"/>
      <c r="H147" s="31">
        <f t="shared" si="23"/>
        <v>0.87838061150756797</v>
      </c>
      <c r="I147" s="31">
        <f t="shared" si="23"/>
        <v>1.3443015632492972</v>
      </c>
      <c r="J147" s="31">
        <f t="shared" si="23"/>
        <v>2.1909058990366326</v>
      </c>
      <c r="K147" s="31">
        <f t="shared" si="23"/>
        <v>3.1612917079877656</v>
      </c>
    </row>
    <row r="148" spans="1:11" x14ac:dyDescent="0.25">
      <c r="A148" s="12"/>
      <c r="B148" s="12"/>
      <c r="C148" s="17"/>
      <c r="D148" s="7"/>
      <c r="E148" s="31"/>
      <c r="F148" s="31"/>
      <c r="G148" s="31"/>
      <c r="H148" s="31"/>
      <c r="I148" s="31"/>
      <c r="J148" s="31"/>
      <c r="K148" s="31"/>
    </row>
    <row r="149" spans="1:11" x14ac:dyDescent="0.25">
      <c r="A149" s="12" t="s">
        <v>124</v>
      </c>
      <c r="B149" s="12"/>
      <c r="C149" s="41" t="s">
        <v>66</v>
      </c>
      <c r="D149" s="7"/>
      <c r="E149" s="31"/>
      <c r="F149" s="31"/>
      <c r="G149" s="31"/>
      <c r="H149" s="31">
        <f>H136/H66/12/1000</f>
        <v>0.86844888720787228</v>
      </c>
      <c r="I149" s="31">
        <f>I136/I66/12/1000</f>
        <v>1.180464935737249</v>
      </c>
      <c r="J149" s="31">
        <f>J136/J66/12/1000</f>
        <v>1.8760503343076489</v>
      </c>
      <c r="K149" s="31">
        <f>K136/K66/12/1000</f>
        <v>2.6819903693537817</v>
      </c>
    </row>
    <row r="150" spans="1:11" x14ac:dyDescent="0.25">
      <c r="A150" s="12" t="s">
        <v>125</v>
      </c>
      <c r="B150" s="12"/>
      <c r="C150" s="17"/>
      <c r="D150" s="7"/>
      <c r="E150" s="31"/>
      <c r="F150" s="31"/>
      <c r="G150" s="31"/>
      <c r="H150" s="117">
        <f>H137/H68/12/1000</f>
        <v>0.56664932508741517</v>
      </c>
      <c r="I150" s="117">
        <f>I137/I68/12/1000</f>
        <v>1.074621786219276</v>
      </c>
      <c r="J150" s="117">
        <f>J137/J68/12/1000</f>
        <v>3.1167693305947135</v>
      </c>
      <c r="K150" s="117">
        <f>K137/K68/12/1000</f>
        <v>7.6636142336583211</v>
      </c>
    </row>
    <row r="151" spans="1:11" x14ac:dyDescent="0.25">
      <c r="A151" s="21"/>
      <c r="B151" s="21"/>
      <c r="C151" s="17"/>
      <c r="D151" s="7"/>
      <c r="E151" s="7"/>
      <c r="F151" s="7"/>
      <c r="G151" s="6"/>
      <c r="H151" s="6"/>
      <c r="I151" s="7"/>
      <c r="J151" s="7"/>
      <c r="K151" s="7"/>
    </row>
    <row r="152" spans="1:11" x14ac:dyDescent="0.25">
      <c r="A152" s="1"/>
      <c r="B152" s="1"/>
      <c r="C152" s="3"/>
      <c r="D152" s="3"/>
      <c r="E152" s="3"/>
      <c r="F152" s="3"/>
      <c r="G152" s="3"/>
      <c r="H152" s="3"/>
      <c r="I152" s="3"/>
      <c r="J152" s="3"/>
      <c r="K152" s="3"/>
    </row>
  </sheetData>
  <mergeCells count="1">
    <mergeCell ref="A18:B18"/>
  </mergeCells>
  <hyperlinks>
    <hyperlink ref="A1" location="Inhoudstafel!A1" display="Naar inhoudstafel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D34:J34" formulaRange="1"/>
    <ignoredError sqref="E89" formula="1"/>
    <ignoredError sqref="I1:K1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2A8E0"/>
  </sheetPr>
  <dimension ref="A1:V46"/>
  <sheetViews>
    <sheetView showGridLines="0" topLeftCell="C1" zoomScale="75" zoomScaleNormal="75" workbookViewId="0">
      <selection activeCell="R3" sqref="R3"/>
    </sheetView>
  </sheetViews>
  <sheetFormatPr defaultRowHeight="15" x14ac:dyDescent="0.25"/>
  <cols>
    <col min="1" max="1" width="23.140625" customWidth="1"/>
    <col min="2" max="2" width="51.5703125" customWidth="1"/>
    <col min="3" max="3" width="14.28515625" bestFit="1" customWidth="1"/>
    <col min="4" max="5" width="10.42578125" bestFit="1" customWidth="1"/>
    <col min="6" max="6" width="11.7109375" bestFit="1" customWidth="1"/>
    <col min="7" max="16" width="12.5703125" bestFit="1" customWidth="1"/>
    <col min="18" max="18" width="11.42578125" bestFit="1" customWidth="1"/>
    <col min="19" max="20" width="10.42578125" bestFit="1" customWidth="1"/>
  </cols>
  <sheetData>
    <row r="1" spans="1:22" ht="27" customHeight="1" x14ac:dyDescent="0.3">
      <c r="A1" s="115" t="s">
        <v>212</v>
      </c>
      <c r="D1" s="45">
        <v>2007</v>
      </c>
      <c r="E1" s="45">
        <v>2008</v>
      </c>
      <c r="F1" s="45">
        <v>2009</v>
      </c>
      <c r="G1" s="45">
        <v>2010</v>
      </c>
      <c r="H1" s="45">
        <v>2011</v>
      </c>
      <c r="I1" s="45">
        <v>2012</v>
      </c>
      <c r="J1" s="45">
        <v>2013</v>
      </c>
      <c r="K1" s="45">
        <v>2014</v>
      </c>
      <c r="L1" s="45">
        <v>2015</v>
      </c>
      <c r="M1" s="45">
        <v>2016</v>
      </c>
      <c r="N1" s="45" t="s">
        <v>52</v>
      </c>
      <c r="O1" s="45" t="s">
        <v>229</v>
      </c>
      <c r="P1" s="45" t="s">
        <v>260</v>
      </c>
    </row>
    <row r="2" spans="1:22" ht="27" customHeight="1" x14ac:dyDescent="0.25"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2" x14ac:dyDescent="0.25">
      <c r="A3" s="135" t="s">
        <v>31</v>
      </c>
      <c r="B3" s="133"/>
      <c r="C3" s="134"/>
      <c r="D3" s="135">
        <f>SUM(D4:D6)</f>
        <v>479528</v>
      </c>
      <c r="E3" s="135">
        <f t="shared" ref="E3:P3" si="0">SUM(E4:E6)</f>
        <v>813728</v>
      </c>
      <c r="F3" s="135">
        <f t="shared" si="0"/>
        <v>1291579</v>
      </c>
      <c r="G3" s="135">
        <f t="shared" si="0"/>
        <v>1851944</v>
      </c>
      <c r="H3" s="135">
        <f t="shared" si="0"/>
        <v>2258689.9999999995</v>
      </c>
      <c r="I3" s="135">
        <f t="shared" si="0"/>
        <v>2625173</v>
      </c>
      <c r="J3" s="135">
        <f t="shared" si="0"/>
        <v>2769559.1276441435</v>
      </c>
      <c r="K3" s="135">
        <f t="shared" si="0"/>
        <v>2858256</v>
      </c>
      <c r="L3" s="135">
        <f t="shared" si="0"/>
        <v>2943533</v>
      </c>
      <c r="M3" s="135">
        <f t="shared" si="0"/>
        <v>3058175</v>
      </c>
      <c r="N3" s="135">
        <f t="shared" si="0"/>
        <v>3189776</v>
      </c>
      <c r="O3" s="135">
        <f t="shared" si="0"/>
        <v>3195773.9825969455</v>
      </c>
      <c r="P3" s="135">
        <f t="shared" si="0"/>
        <v>3280008.0002601594</v>
      </c>
      <c r="R3" s="2"/>
    </row>
    <row r="4" spans="1:22" x14ac:dyDescent="0.25">
      <c r="A4" s="12" t="s">
        <v>32</v>
      </c>
      <c r="B4" s="54"/>
      <c r="C4" s="56"/>
      <c r="D4" s="7">
        <v>409665</v>
      </c>
      <c r="E4" s="7">
        <v>618833</v>
      </c>
      <c r="F4" s="7">
        <v>757277</v>
      </c>
      <c r="G4" s="7">
        <v>866163</v>
      </c>
      <c r="H4" s="7">
        <v>917764.85322102555</v>
      </c>
      <c r="I4" s="7">
        <v>996526</v>
      </c>
      <c r="J4" s="7">
        <v>978821.12764414353</v>
      </c>
      <c r="K4" s="7">
        <v>703098</v>
      </c>
      <c r="L4" s="7">
        <v>566157</v>
      </c>
      <c r="M4" s="7">
        <v>560961</v>
      </c>
      <c r="N4" s="7">
        <v>567167</v>
      </c>
      <c r="O4" s="7">
        <v>613850.246095223</v>
      </c>
      <c r="P4" s="7">
        <v>598291.36177619302</v>
      </c>
      <c r="Q4" s="60"/>
    </row>
    <row r="5" spans="1:22" x14ac:dyDescent="0.25">
      <c r="A5" s="12" t="s">
        <v>33</v>
      </c>
      <c r="B5" s="54"/>
      <c r="C5" s="56"/>
      <c r="D5" s="7">
        <v>69863</v>
      </c>
      <c r="E5" s="7">
        <v>194895</v>
      </c>
      <c r="F5" s="7">
        <v>520807</v>
      </c>
      <c r="G5" s="7">
        <v>939468</v>
      </c>
      <c r="H5" s="7">
        <v>1262084.146778974</v>
      </c>
      <c r="I5" s="7">
        <v>1519443</v>
      </c>
      <c r="J5" s="7">
        <v>1614520</v>
      </c>
      <c r="K5" s="7">
        <v>1538458</v>
      </c>
      <c r="L5" s="7">
        <v>1640302</v>
      </c>
      <c r="M5" s="7">
        <v>1659756</v>
      </c>
      <c r="N5" s="7">
        <v>1683691</v>
      </c>
      <c r="O5" s="7">
        <v>1702063.6865625645</v>
      </c>
      <c r="P5" s="7">
        <v>1604188.0336328766</v>
      </c>
      <c r="Q5" s="60"/>
    </row>
    <row r="6" spans="1:22" x14ac:dyDescent="0.25">
      <c r="A6" s="12" t="s">
        <v>34</v>
      </c>
      <c r="B6" s="54"/>
      <c r="C6" s="56"/>
      <c r="D6" s="7">
        <v>0</v>
      </c>
      <c r="E6" s="7">
        <v>0</v>
      </c>
      <c r="F6" s="7">
        <v>13495</v>
      </c>
      <c r="G6" s="7">
        <v>46313</v>
      </c>
      <c r="H6" s="7">
        <v>78841</v>
      </c>
      <c r="I6" s="7">
        <v>109204</v>
      </c>
      <c r="J6" s="7">
        <v>176218</v>
      </c>
      <c r="K6" s="7">
        <v>616700</v>
      </c>
      <c r="L6" s="7">
        <v>737074</v>
      </c>
      <c r="M6" s="7">
        <v>837458</v>
      </c>
      <c r="N6" s="7">
        <v>938918</v>
      </c>
      <c r="O6" s="7">
        <v>879860.04993915802</v>
      </c>
      <c r="P6" s="7">
        <v>1077528.6048510899</v>
      </c>
      <c r="Q6" s="60"/>
      <c r="R6" s="32"/>
      <c r="S6" s="3"/>
    </row>
    <row r="7" spans="1:22" x14ac:dyDescent="0.25">
      <c r="A7" s="7"/>
      <c r="B7" s="92"/>
      <c r="C7" s="106"/>
    </row>
    <row r="8" spans="1:22" x14ac:dyDescent="0.25">
      <c r="A8" s="135" t="s">
        <v>217</v>
      </c>
      <c r="B8" s="133"/>
      <c r="C8" s="134"/>
      <c r="D8" s="135">
        <f>SUM(D9:D14)</f>
        <v>409665</v>
      </c>
      <c r="E8" s="135">
        <f t="shared" ref="E8:P8" si="1">SUM(E9:E14)</f>
        <v>618833</v>
      </c>
      <c r="F8" s="135">
        <f t="shared" si="1"/>
        <v>757277</v>
      </c>
      <c r="G8" s="135">
        <f t="shared" si="1"/>
        <v>866163</v>
      </c>
      <c r="H8" s="135">
        <f t="shared" si="1"/>
        <v>917764.85322102555</v>
      </c>
      <c r="I8" s="135">
        <f t="shared" si="1"/>
        <v>996526</v>
      </c>
      <c r="J8" s="135">
        <f t="shared" si="1"/>
        <v>978821.12764414353</v>
      </c>
      <c r="K8" s="135">
        <f t="shared" si="1"/>
        <v>703098</v>
      </c>
      <c r="L8" s="135">
        <f t="shared" si="1"/>
        <v>566157</v>
      </c>
      <c r="M8" s="135">
        <f t="shared" si="1"/>
        <v>560961</v>
      </c>
      <c r="N8" s="135">
        <f t="shared" si="1"/>
        <v>567167</v>
      </c>
      <c r="O8" s="135">
        <f t="shared" si="1"/>
        <v>613850.246095223</v>
      </c>
      <c r="P8" s="135">
        <f t="shared" si="1"/>
        <v>598291.36177619302</v>
      </c>
    </row>
    <row r="9" spans="1:22" x14ac:dyDescent="0.25">
      <c r="A9" s="12" t="s">
        <v>36</v>
      </c>
      <c r="B9" s="54"/>
      <c r="C9" s="56"/>
      <c r="D9" s="7">
        <v>226329</v>
      </c>
      <c r="E9" s="7">
        <v>257458</v>
      </c>
      <c r="F9" s="7">
        <v>269377</v>
      </c>
      <c r="G9" s="7">
        <v>306369</v>
      </c>
      <c r="H9" s="7">
        <v>279586</v>
      </c>
      <c r="I9" s="7">
        <v>225737</v>
      </c>
      <c r="J9" s="7">
        <v>227167.03904266888</v>
      </c>
      <c r="K9" s="7">
        <v>121060</v>
      </c>
      <c r="L9" s="7">
        <v>93573</v>
      </c>
      <c r="M9" s="7">
        <v>68063</v>
      </c>
      <c r="N9" s="7">
        <v>50189</v>
      </c>
      <c r="O9" s="7">
        <v>82930.304345811703</v>
      </c>
      <c r="P9" s="7">
        <v>73397.102589726797</v>
      </c>
    </row>
    <row r="10" spans="1:22" x14ac:dyDescent="0.25">
      <c r="A10" s="12" t="s">
        <v>35</v>
      </c>
      <c r="B10" s="54"/>
      <c r="C10" s="56"/>
      <c r="D10" s="7">
        <v>2123</v>
      </c>
      <c r="E10" s="7">
        <v>7500</v>
      </c>
      <c r="F10" s="7">
        <v>6728</v>
      </c>
      <c r="G10" s="7">
        <v>3892</v>
      </c>
      <c r="H10" s="7">
        <v>2723</v>
      </c>
      <c r="I10" s="7">
        <v>27448</v>
      </c>
      <c r="J10" s="7">
        <v>29147</v>
      </c>
      <c r="K10" s="7">
        <v>33497</v>
      </c>
      <c r="L10" s="7">
        <v>16604</v>
      </c>
      <c r="M10" s="7">
        <v>48427</v>
      </c>
      <c r="N10" s="7">
        <v>34524</v>
      </c>
      <c r="O10" s="7">
        <v>5299.9825969452504</v>
      </c>
      <c r="P10" s="7">
        <v>29455.00026015922</v>
      </c>
      <c r="S10" s="2"/>
      <c r="T10" s="2"/>
      <c r="V10" s="60"/>
    </row>
    <row r="11" spans="1:22" x14ac:dyDescent="0.25">
      <c r="A11" s="12" t="s">
        <v>37</v>
      </c>
      <c r="B11" s="54"/>
      <c r="C11" s="56"/>
      <c r="D11" s="7">
        <v>170527</v>
      </c>
      <c r="E11" s="7">
        <v>330872</v>
      </c>
      <c r="F11" s="7">
        <v>421510</v>
      </c>
      <c r="G11" s="7">
        <v>450183</v>
      </c>
      <c r="H11" s="7">
        <v>480252.85322102549</v>
      </c>
      <c r="I11" s="7">
        <v>539161</v>
      </c>
      <c r="J11" s="7">
        <v>510964.08860147465</v>
      </c>
      <c r="K11" s="7">
        <v>347492</v>
      </c>
      <c r="L11" s="7">
        <v>283670</v>
      </c>
      <c r="M11" s="7">
        <v>265748</v>
      </c>
      <c r="N11" s="7">
        <v>313742</v>
      </c>
      <c r="O11" s="7">
        <v>372753.95915246604</v>
      </c>
      <c r="P11" s="7">
        <v>362590.25892630697</v>
      </c>
    </row>
    <row r="12" spans="1:22" x14ac:dyDescent="0.25">
      <c r="A12" s="12" t="s">
        <v>38</v>
      </c>
      <c r="B12" s="54"/>
      <c r="C12" s="56"/>
      <c r="D12" s="7">
        <v>10686</v>
      </c>
      <c r="E12" s="7">
        <v>23003</v>
      </c>
      <c r="F12" s="7">
        <v>53351</v>
      </c>
      <c r="G12" s="7">
        <v>100593</v>
      </c>
      <c r="H12" s="7">
        <v>144846</v>
      </c>
      <c r="I12" s="7">
        <v>197553</v>
      </c>
      <c r="J12" s="7">
        <v>207600</v>
      </c>
      <c r="K12" s="7">
        <v>198228</v>
      </c>
      <c r="L12" s="7">
        <v>171714</v>
      </c>
      <c r="M12" s="7">
        <v>178372</v>
      </c>
      <c r="N12" s="7">
        <v>168463</v>
      </c>
      <c r="O12" s="7">
        <v>152719</v>
      </c>
      <c r="P12" s="7">
        <v>132653</v>
      </c>
    </row>
    <row r="13" spans="1:22" x14ac:dyDescent="0.25">
      <c r="A13" s="12" t="s">
        <v>39</v>
      </c>
      <c r="B13" s="54"/>
      <c r="C13" s="56"/>
      <c r="D13" s="7">
        <v>0</v>
      </c>
      <c r="E13" s="7">
        <v>0</v>
      </c>
      <c r="F13" s="7">
        <v>6311</v>
      </c>
      <c r="G13" s="7">
        <v>5126</v>
      </c>
      <c r="H13" s="7">
        <v>10357</v>
      </c>
      <c r="I13" s="7">
        <v>6623</v>
      </c>
      <c r="J13" s="7">
        <v>3929</v>
      </c>
      <c r="K13" s="7">
        <v>2811</v>
      </c>
      <c r="L13" s="7">
        <v>590</v>
      </c>
      <c r="M13" s="7">
        <v>306</v>
      </c>
      <c r="N13" s="7">
        <v>224</v>
      </c>
      <c r="O13" s="7">
        <v>147</v>
      </c>
      <c r="P13" s="7">
        <v>141</v>
      </c>
    </row>
    <row r="14" spans="1:22" x14ac:dyDescent="0.25">
      <c r="A14" s="12" t="s">
        <v>40</v>
      </c>
      <c r="B14" s="54"/>
      <c r="C14" s="56"/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4</v>
      </c>
      <c r="J14" s="7">
        <v>14</v>
      </c>
      <c r="K14" s="7">
        <v>10</v>
      </c>
      <c r="L14" s="7">
        <v>6</v>
      </c>
      <c r="M14" s="7">
        <v>45</v>
      </c>
      <c r="N14" s="7">
        <v>25</v>
      </c>
      <c r="O14" s="7">
        <v>0</v>
      </c>
      <c r="P14" s="7">
        <v>55</v>
      </c>
    </row>
    <row r="15" spans="1:22" x14ac:dyDescent="0.25">
      <c r="B15" s="98"/>
      <c r="C15" s="99"/>
    </row>
    <row r="16" spans="1:22" x14ac:dyDescent="0.25">
      <c r="A16" s="135" t="s">
        <v>216</v>
      </c>
      <c r="B16" s="133"/>
      <c r="C16" s="134"/>
      <c r="D16" s="135">
        <f>SUM(D17:D20)</f>
        <v>69863</v>
      </c>
      <c r="E16" s="135">
        <f t="shared" ref="E16:P16" si="2">SUM(E17:E20)</f>
        <v>194895</v>
      </c>
      <c r="F16" s="135">
        <f t="shared" si="2"/>
        <v>520807</v>
      </c>
      <c r="G16" s="135">
        <f t="shared" si="2"/>
        <v>939468</v>
      </c>
      <c r="H16" s="135">
        <f t="shared" si="2"/>
        <v>1262084.146778974</v>
      </c>
      <c r="I16" s="135">
        <f t="shared" si="2"/>
        <v>1519443</v>
      </c>
      <c r="J16" s="135">
        <f t="shared" si="2"/>
        <v>1614520</v>
      </c>
      <c r="K16" s="135">
        <f t="shared" si="2"/>
        <v>1538458</v>
      </c>
      <c r="L16" s="135">
        <f t="shared" si="2"/>
        <v>1640302</v>
      </c>
      <c r="M16" s="135">
        <f t="shared" si="2"/>
        <v>1659756</v>
      </c>
      <c r="N16" s="135">
        <f t="shared" si="2"/>
        <v>1683691</v>
      </c>
      <c r="O16" s="135">
        <f t="shared" si="2"/>
        <v>1702063.6865625645</v>
      </c>
      <c r="P16" s="135">
        <f t="shared" si="2"/>
        <v>1604188.0336328766</v>
      </c>
    </row>
    <row r="17" spans="1:16" x14ac:dyDescent="0.25">
      <c r="A17" s="12" t="s">
        <v>41</v>
      </c>
      <c r="B17" s="54"/>
      <c r="C17" s="56"/>
      <c r="D17" s="7">
        <v>64601</v>
      </c>
      <c r="E17" s="7">
        <v>191221</v>
      </c>
      <c r="F17" s="7">
        <v>515536</v>
      </c>
      <c r="G17" s="7">
        <v>915474</v>
      </c>
      <c r="H17" s="7">
        <v>1225410.146778974</v>
      </c>
      <c r="I17" s="7">
        <v>1472343</v>
      </c>
      <c r="J17" s="7">
        <v>1546655</v>
      </c>
      <c r="K17" s="7">
        <v>1282082</v>
      </c>
      <c r="L17" s="7">
        <v>1331916</v>
      </c>
      <c r="M17" s="7">
        <v>1303108</v>
      </c>
      <c r="N17" s="7">
        <v>1311843</v>
      </c>
      <c r="O17" s="7">
        <v>1402797.9500608421</v>
      </c>
      <c r="P17" s="7">
        <v>1204691.3951489101</v>
      </c>
    </row>
    <row r="18" spans="1:16" x14ac:dyDescent="0.25">
      <c r="A18" s="12" t="s">
        <v>42</v>
      </c>
      <c r="B18" s="54"/>
      <c r="C18" s="56"/>
      <c r="D18" s="7">
        <v>0</v>
      </c>
      <c r="E18" s="7">
        <v>0</v>
      </c>
      <c r="F18" s="7">
        <v>2190</v>
      </c>
      <c r="G18" s="7">
        <v>21540</v>
      </c>
      <c r="H18" s="7">
        <v>34496</v>
      </c>
      <c r="I18" s="7">
        <v>45662</v>
      </c>
      <c r="J18" s="7">
        <v>56041</v>
      </c>
      <c r="K18" s="7">
        <v>178032</v>
      </c>
      <c r="L18" s="7">
        <v>205107</v>
      </c>
      <c r="M18" s="7">
        <v>261218</v>
      </c>
      <c r="N18" s="7">
        <v>290473</v>
      </c>
      <c r="O18" s="7">
        <v>264333.04084753408</v>
      </c>
      <c r="P18" s="7">
        <v>364768.74107369303</v>
      </c>
    </row>
    <row r="19" spans="1:16" x14ac:dyDescent="0.25">
      <c r="A19" s="12" t="s">
        <v>43</v>
      </c>
      <c r="B19" s="54"/>
      <c r="C19" s="56"/>
      <c r="D19" s="7">
        <v>5262</v>
      </c>
      <c r="E19" s="7">
        <v>3674</v>
      </c>
      <c r="F19" s="7">
        <v>3081</v>
      </c>
      <c r="G19" s="7">
        <v>2454</v>
      </c>
      <c r="H19" s="7">
        <v>2178</v>
      </c>
      <c r="I19" s="7">
        <v>1435</v>
      </c>
      <c r="J19" s="7">
        <v>11806</v>
      </c>
      <c r="K19" s="7">
        <v>70350</v>
      </c>
      <c r="L19" s="7">
        <v>81034</v>
      </c>
      <c r="M19" s="7">
        <v>83387</v>
      </c>
      <c r="N19" s="7">
        <v>68100</v>
      </c>
      <c r="O19" s="7">
        <v>20429.695654188301</v>
      </c>
      <c r="P19" s="7">
        <v>19240.897410273301</v>
      </c>
    </row>
    <row r="20" spans="1:16" x14ac:dyDescent="0.25">
      <c r="A20" s="12" t="s">
        <v>44</v>
      </c>
      <c r="B20" s="54"/>
      <c r="C20" s="56"/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3</v>
      </c>
      <c r="J20" s="7">
        <v>18</v>
      </c>
      <c r="K20" s="7">
        <v>7994</v>
      </c>
      <c r="L20" s="7">
        <v>22245</v>
      </c>
      <c r="M20" s="7">
        <v>12043</v>
      </c>
      <c r="N20" s="7">
        <v>13275</v>
      </c>
      <c r="O20" s="7">
        <v>14503</v>
      </c>
      <c r="P20" s="7">
        <v>15487</v>
      </c>
    </row>
    <row r="21" spans="1:16" x14ac:dyDescent="0.25">
      <c r="B21" s="98"/>
      <c r="C21" s="99"/>
    </row>
    <row r="22" spans="1:16" x14ac:dyDescent="0.25">
      <c r="A22" s="135" t="s">
        <v>218</v>
      </c>
      <c r="B22" s="133"/>
      <c r="C22" s="134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</row>
    <row r="23" spans="1:16" x14ac:dyDescent="0.25">
      <c r="A23" s="138" t="s">
        <v>186</v>
      </c>
      <c r="B23" s="159"/>
      <c r="C23" s="156"/>
      <c r="D23" s="119"/>
      <c r="E23" s="119"/>
      <c r="F23" s="119"/>
      <c r="G23" s="119">
        <f>G24+G25</f>
        <v>2622603</v>
      </c>
      <c r="H23" s="119">
        <f t="shared" ref="H23:P23" si="3">H24+H25</f>
        <v>2923209.9999999995</v>
      </c>
      <c r="I23" s="119">
        <f t="shared" si="3"/>
        <v>3080359.5</v>
      </c>
      <c r="J23" s="119">
        <f t="shared" si="3"/>
        <v>3137331.1276441435</v>
      </c>
      <c r="K23" s="119">
        <f t="shared" si="3"/>
        <v>3224763</v>
      </c>
      <c r="L23" s="119">
        <f t="shared" si="3"/>
        <v>3305432</v>
      </c>
      <c r="M23" s="119">
        <f t="shared" si="3"/>
        <v>3411691</v>
      </c>
      <c r="N23" s="119">
        <f t="shared" si="3"/>
        <v>3368880</v>
      </c>
      <c r="O23" s="119">
        <f t="shared" si="3"/>
        <v>3403166.0000000005</v>
      </c>
      <c r="P23" s="119">
        <f t="shared" si="3"/>
        <v>3566316.0000000005</v>
      </c>
    </row>
    <row r="24" spans="1:16" x14ac:dyDescent="0.25">
      <c r="A24" s="26" t="s">
        <v>184</v>
      </c>
      <c r="B24" s="53"/>
      <c r="C24" s="41"/>
      <c r="D24" s="7"/>
      <c r="E24" s="7"/>
      <c r="F24" s="7"/>
      <c r="G24" s="7">
        <v>876378</v>
      </c>
      <c r="H24" s="7">
        <v>819723</v>
      </c>
      <c r="I24" s="7">
        <v>659369.5</v>
      </c>
      <c r="J24" s="7">
        <v>579333</v>
      </c>
      <c r="K24" s="7">
        <v>575550</v>
      </c>
      <c r="L24" s="7">
        <v>556454</v>
      </c>
      <c r="M24" s="7">
        <v>544282</v>
      </c>
      <c r="N24" s="7">
        <v>361091</v>
      </c>
      <c r="O24" s="7">
        <v>374761.01740305498</v>
      </c>
      <c r="P24" s="7">
        <v>434643.99973984098</v>
      </c>
    </row>
    <row r="25" spans="1:16" x14ac:dyDescent="0.25">
      <c r="A25" s="26" t="s">
        <v>185</v>
      </c>
      <c r="B25" s="53"/>
      <c r="C25" s="41"/>
      <c r="D25" s="7"/>
      <c r="E25" s="7"/>
      <c r="F25" s="7"/>
      <c r="G25" s="7">
        <v>1746225</v>
      </c>
      <c r="H25" s="7">
        <v>2103486.9999999995</v>
      </c>
      <c r="I25" s="7">
        <v>2420990</v>
      </c>
      <c r="J25" s="7">
        <v>2557998.1276441435</v>
      </c>
      <c r="K25" s="7">
        <v>2649213</v>
      </c>
      <c r="L25" s="7">
        <v>2748978</v>
      </c>
      <c r="M25" s="7">
        <v>2867409</v>
      </c>
      <c r="N25" s="7">
        <v>3007789</v>
      </c>
      <c r="O25" s="7">
        <v>3028404.9825969455</v>
      </c>
      <c r="P25" s="7">
        <v>3131672.0002601594</v>
      </c>
    </row>
    <row r="26" spans="1:16" x14ac:dyDescent="0.25">
      <c r="A26" s="138" t="s">
        <v>187</v>
      </c>
      <c r="B26" s="159"/>
      <c r="C26" s="156"/>
      <c r="D26" s="119"/>
      <c r="E26" s="119"/>
      <c r="F26" s="119"/>
      <c r="G26" s="119">
        <f>G27+G28</f>
        <v>3780912</v>
      </c>
      <c r="H26" s="119">
        <f t="shared" ref="H26:P26" si="4">H27+H28</f>
        <v>3956024.9999999995</v>
      </c>
      <c r="I26" s="119">
        <f t="shared" si="4"/>
        <v>4006758</v>
      </c>
      <c r="J26" s="119">
        <f t="shared" si="4"/>
        <v>3940766.0886014747</v>
      </c>
      <c r="K26" s="119">
        <f t="shared" si="4"/>
        <v>3948525</v>
      </c>
      <c r="L26" s="119">
        <f t="shared" si="4"/>
        <v>3947536</v>
      </c>
      <c r="M26" s="119">
        <f t="shared" si="4"/>
        <v>4238823</v>
      </c>
      <c r="N26" s="119">
        <f t="shared" si="4"/>
        <v>4298955</v>
      </c>
      <c r="O26" s="119">
        <f t="shared" si="4"/>
        <v>4234107</v>
      </c>
      <c r="P26" s="119">
        <f t="shared" si="4"/>
        <v>4161033</v>
      </c>
    </row>
    <row r="27" spans="1:16" x14ac:dyDescent="0.25">
      <c r="A27" s="26" t="s">
        <v>184</v>
      </c>
      <c r="B27" s="53"/>
      <c r="C27" s="41"/>
      <c r="D27" s="7"/>
      <c r="E27" s="7"/>
      <c r="F27" s="7"/>
      <c r="G27" s="7">
        <v>2246809</v>
      </c>
      <c r="H27" s="7">
        <v>1992179</v>
      </c>
      <c r="I27" s="7">
        <v>1642828</v>
      </c>
      <c r="J27" s="7">
        <v>1443256</v>
      </c>
      <c r="K27" s="7">
        <v>1317987</v>
      </c>
      <c r="L27" s="7">
        <v>1195804</v>
      </c>
      <c r="M27" s="7">
        <v>1380831</v>
      </c>
      <c r="N27" s="7">
        <v>1262216</v>
      </c>
      <c r="O27" s="7">
        <v>1147140</v>
      </c>
      <c r="P27" s="7">
        <v>1003259</v>
      </c>
    </row>
    <row r="28" spans="1:16" x14ac:dyDescent="0.25">
      <c r="A28" s="26" t="s">
        <v>185</v>
      </c>
      <c r="B28" s="53"/>
      <c r="C28" s="41"/>
      <c r="D28" s="7"/>
      <c r="E28" s="7"/>
      <c r="F28" s="7"/>
      <c r="G28" s="7">
        <v>1534103</v>
      </c>
      <c r="H28" s="7">
        <v>1963845.9999999995</v>
      </c>
      <c r="I28" s="7">
        <v>2363930</v>
      </c>
      <c r="J28" s="7">
        <v>2497510.0886014747</v>
      </c>
      <c r="K28" s="7">
        <v>2630538</v>
      </c>
      <c r="L28" s="7">
        <v>2751732</v>
      </c>
      <c r="M28" s="7">
        <v>2857992</v>
      </c>
      <c r="N28" s="7">
        <v>3036739</v>
      </c>
      <c r="O28" s="7">
        <v>3086967.0000000005</v>
      </c>
      <c r="P28" s="7">
        <v>3157774</v>
      </c>
    </row>
    <row r="29" spans="1:16" x14ac:dyDescent="0.25">
      <c r="A29" s="138" t="s">
        <v>188</v>
      </c>
      <c r="B29" s="159"/>
      <c r="C29" s="156"/>
      <c r="D29" s="119"/>
      <c r="E29" s="119"/>
      <c r="F29" s="119"/>
      <c r="G29" s="119">
        <f t="shared" ref="G29:P29" si="5">G30+G31</f>
        <v>2397474</v>
      </c>
      <c r="H29" s="119">
        <f t="shared" si="5"/>
        <v>2953338.1467789738</v>
      </c>
      <c r="I29" s="119">
        <f t="shared" si="5"/>
        <v>2981722</v>
      </c>
      <c r="J29" s="119">
        <f t="shared" si="5"/>
        <v>3030970.0390426689</v>
      </c>
      <c r="K29" s="119">
        <f t="shared" si="5"/>
        <v>3063374.44</v>
      </c>
      <c r="L29" s="119">
        <f t="shared" si="5"/>
        <v>3098318.2800000003</v>
      </c>
      <c r="M29" s="119">
        <f t="shared" si="5"/>
        <v>3029358</v>
      </c>
      <c r="N29" s="119">
        <f t="shared" si="5"/>
        <v>2966729</v>
      </c>
      <c r="O29" s="119">
        <f t="shared" si="5"/>
        <v>2908444</v>
      </c>
      <c r="P29" s="119">
        <f t="shared" si="5"/>
        <v>2824484</v>
      </c>
    </row>
    <row r="30" spans="1:16" x14ac:dyDescent="0.25">
      <c r="A30" s="26" t="s">
        <v>184</v>
      </c>
      <c r="B30" s="53"/>
      <c r="C30" s="41"/>
      <c r="D30" s="7"/>
      <c r="E30" s="7"/>
      <c r="F30" s="7"/>
      <c r="G30" s="7">
        <v>1021145</v>
      </c>
      <c r="H30" s="7">
        <v>1212120</v>
      </c>
      <c r="I30" s="7">
        <v>968824</v>
      </c>
      <c r="J30" s="7">
        <v>857577</v>
      </c>
      <c r="K30" s="7">
        <v>764149.44</v>
      </c>
      <c r="L30" s="7">
        <v>660172.28</v>
      </c>
      <c r="M30" s="7">
        <v>546621</v>
      </c>
      <c r="N30" s="7">
        <v>415717</v>
      </c>
      <c r="O30" s="7">
        <v>355057</v>
      </c>
      <c r="P30" s="7">
        <v>301345</v>
      </c>
    </row>
    <row r="31" spans="1:16" x14ac:dyDescent="0.25">
      <c r="A31" s="26" t="s">
        <v>185</v>
      </c>
      <c r="B31" s="53"/>
      <c r="C31" s="41"/>
      <c r="D31" s="7"/>
      <c r="E31" s="7"/>
      <c r="F31" s="7"/>
      <c r="G31" s="7">
        <v>1376329</v>
      </c>
      <c r="H31" s="7">
        <v>1741218.146778974</v>
      </c>
      <c r="I31" s="7">
        <v>2012898</v>
      </c>
      <c r="J31" s="7">
        <v>2173393.0390426689</v>
      </c>
      <c r="K31" s="7">
        <v>2299225</v>
      </c>
      <c r="L31" s="7">
        <v>2438146</v>
      </c>
      <c r="M31" s="7">
        <v>2482737</v>
      </c>
      <c r="N31" s="7">
        <v>2551012</v>
      </c>
      <c r="O31" s="7">
        <v>2553387</v>
      </c>
      <c r="P31" s="7">
        <v>2523139</v>
      </c>
    </row>
    <row r="32" spans="1:16" x14ac:dyDescent="0.25">
      <c r="B32" s="98"/>
      <c r="C32" s="99"/>
    </row>
    <row r="33" spans="1:16" x14ac:dyDescent="0.25">
      <c r="A33" s="135" t="s">
        <v>207</v>
      </c>
      <c r="B33" s="133"/>
      <c r="C33" s="134" t="s">
        <v>62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>
        <f>SUM(N34:N36)</f>
        <v>2592617.2713456759</v>
      </c>
      <c r="O33" s="135">
        <f>SUM(O34:O36)</f>
        <v>2640401.309857999</v>
      </c>
      <c r="P33" s="135">
        <f>SUM(P34:P36)</f>
        <v>2878597.4644801747</v>
      </c>
    </row>
    <row r="34" spans="1:16" x14ac:dyDescent="0.25">
      <c r="A34" s="12" t="s">
        <v>32</v>
      </c>
      <c r="B34" s="54"/>
      <c r="C34" s="56"/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v>305274.5755786075</v>
      </c>
      <c r="O34" s="7">
        <v>350897.85606080841</v>
      </c>
      <c r="P34" s="7">
        <v>356450.00394292502</v>
      </c>
    </row>
    <row r="35" spans="1:16" x14ac:dyDescent="0.25">
      <c r="A35" s="12" t="s">
        <v>33</v>
      </c>
      <c r="B35" s="54"/>
      <c r="C35" s="56"/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1404833.5150259477</v>
      </c>
      <c r="O35" s="7">
        <v>1347777.228703635</v>
      </c>
      <c r="P35" s="7">
        <v>1295414.4229249819</v>
      </c>
    </row>
    <row r="36" spans="1:16" x14ac:dyDescent="0.25">
      <c r="A36" s="12" t="s">
        <v>34</v>
      </c>
      <c r="B36" s="54"/>
      <c r="C36" s="56"/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882509.18074112071</v>
      </c>
      <c r="O36" s="7">
        <v>941726.22509355575</v>
      </c>
      <c r="P36" s="7">
        <v>1226733.0376122678</v>
      </c>
    </row>
    <row r="37" spans="1:16" x14ac:dyDescent="0.25">
      <c r="B37" s="98"/>
      <c r="C37" s="99"/>
    </row>
    <row r="38" spans="1:16" x14ac:dyDescent="0.25">
      <c r="A38" s="135" t="s">
        <v>220</v>
      </c>
      <c r="B38" s="133"/>
      <c r="C38" s="134" t="s">
        <v>69</v>
      </c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</row>
    <row r="39" spans="1:16" x14ac:dyDescent="0.25">
      <c r="A39" s="12" t="s">
        <v>32</v>
      </c>
      <c r="B39" s="54"/>
      <c r="C39" s="56"/>
      <c r="D39" s="7"/>
      <c r="E39" s="7"/>
      <c r="F39" s="7"/>
      <c r="G39" s="7"/>
      <c r="H39" s="7"/>
      <c r="I39" s="7"/>
      <c r="J39" s="7"/>
      <c r="K39" s="7"/>
      <c r="L39" s="7"/>
      <c r="M39" s="7"/>
      <c r="N39" s="31">
        <f t="shared" ref="N39:P41" si="6">(N34*1000)/((M4+N4)/2)/12</f>
        <v>45.100463714904613</v>
      </c>
      <c r="O39" s="31">
        <f t="shared" si="6"/>
        <v>49.519154951797702</v>
      </c>
      <c r="P39" s="31">
        <f t="shared" si="6"/>
        <v>49.01105085800301</v>
      </c>
    </row>
    <row r="40" spans="1:16" x14ac:dyDescent="0.25">
      <c r="A40" s="12" t="s">
        <v>33</v>
      </c>
      <c r="B40" s="54"/>
      <c r="C40" s="56"/>
      <c r="D40" s="7"/>
      <c r="E40" s="7"/>
      <c r="F40" s="7"/>
      <c r="G40" s="7"/>
      <c r="H40" s="7"/>
      <c r="I40" s="7"/>
      <c r="J40" s="7"/>
      <c r="K40" s="7"/>
      <c r="L40" s="7"/>
      <c r="M40" s="7"/>
      <c r="N40" s="31">
        <f t="shared" si="6"/>
        <v>70.029200155106778</v>
      </c>
      <c r="O40" s="31">
        <f t="shared" si="6"/>
        <v>66.345485397623662</v>
      </c>
      <c r="P40" s="31">
        <f t="shared" si="6"/>
        <v>65.301260185981178</v>
      </c>
    </row>
    <row r="41" spans="1:16" x14ac:dyDescent="0.25">
      <c r="A41" s="12" t="s">
        <v>34</v>
      </c>
      <c r="B41" s="54"/>
      <c r="C41" s="56"/>
      <c r="D41" s="7"/>
      <c r="E41" s="7"/>
      <c r="F41" s="7"/>
      <c r="G41" s="7"/>
      <c r="H41" s="7"/>
      <c r="I41" s="7"/>
      <c r="J41" s="7"/>
      <c r="K41" s="7"/>
      <c r="L41" s="7"/>
      <c r="M41" s="7"/>
      <c r="N41" s="31">
        <f t="shared" si="6"/>
        <v>82.800523907581194</v>
      </c>
      <c r="O41" s="31">
        <f t="shared" si="6"/>
        <v>86.296604939880623</v>
      </c>
      <c r="P41" s="31">
        <f t="shared" si="6"/>
        <v>104.45319879031412</v>
      </c>
    </row>
    <row r="43" spans="1:16" x14ac:dyDescent="0.25">
      <c r="A43" s="135" t="s">
        <v>219</v>
      </c>
      <c r="B43" s="133"/>
      <c r="C43" s="134"/>
      <c r="D43" s="135"/>
      <c r="E43" s="135"/>
      <c r="F43" s="135"/>
      <c r="G43" s="135"/>
      <c r="H43" s="135"/>
      <c r="I43" s="135"/>
      <c r="J43" s="135"/>
      <c r="K43" s="135"/>
      <c r="L43" s="135"/>
      <c r="M43" s="135">
        <f>M44+M45+M46</f>
        <v>364846</v>
      </c>
      <c r="N43" s="135">
        <f>N44+N45+N46</f>
        <v>455668</v>
      </c>
      <c r="O43" s="135">
        <f>O44+O45+O46</f>
        <v>455212</v>
      </c>
      <c r="P43" s="135">
        <f>P44+P45+P46</f>
        <v>464115.97981164476</v>
      </c>
    </row>
    <row r="44" spans="1:16" x14ac:dyDescent="0.25">
      <c r="A44" s="12" t="s">
        <v>32</v>
      </c>
      <c r="B44" s="54"/>
      <c r="C44" s="56"/>
      <c r="D44" s="7"/>
      <c r="E44" s="7"/>
      <c r="F44" s="7"/>
      <c r="G44" s="7"/>
      <c r="H44" s="7"/>
      <c r="I44" s="7"/>
      <c r="J44" s="7"/>
      <c r="K44" s="7"/>
      <c r="L44" s="7"/>
      <c r="M44" s="7">
        <v>60155</v>
      </c>
      <c r="N44" s="7">
        <v>97606</v>
      </c>
      <c r="O44" s="7">
        <v>115053.8222052669</v>
      </c>
      <c r="P44" s="7">
        <v>120992.02309188433</v>
      </c>
    </row>
    <row r="45" spans="1:16" x14ac:dyDescent="0.25">
      <c r="A45" s="12" t="s">
        <v>33</v>
      </c>
      <c r="B45" s="54"/>
      <c r="C45" s="56"/>
      <c r="D45" s="7"/>
      <c r="E45" s="7"/>
      <c r="F45" s="7"/>
      <c r="G45" s="7"/>
      <c r="H45" s="7"/>
      <c r="I45" s="7"/>
      <c r="J45" s="7"/>
      <c r="K45" s="7"/>
      <c r="L45" s="7"/>
      <c r="M45" s="7">
        <v>174673</v>
      </c>
      <c r="N45" s="7">
        <v>214904</v>
      </c>
      <c r="O45" s="7">
        <v>195510.42530020891</v>
      </c>
      <c r="P45" s="7">
        <v>179684.4237611623</v>
      </c>
    </row>
    <row r="46" spans="1:16" x14ac:dyDescent="0.25">
      <c r="A46" s="12" t="s">
        <v>34</v>
      </c>
      <c r="B46" s="54"/>
      <c r="C46" s="56"/>
      <c r="D46" s="7"/>
      <c r="E46" s="7"/>
      <c r="F46" s="7"/>
      <c r="G46" s="7"/>
      <c r="H46" s="7"/>
      <c r="I46" s="7"/>
      <c r="J46" s="7"/>
      <c r="K46" s="7"/>
      <c r="L46" s="7"/>
      <c r="M46" s="7">
        <v>130018</v>
      </c>
      <c r="N46" s="7">
        <v>143158</v>
      </c>
      <c r="O46" s="7">
        <v>144647.7524945242</v>
      </c>
      <c r="P46" s="7">
        <v>163439.53295859811</v>
      </c>
    </row>
  </sheetData>
  <hyperlinks>
    <hyperlink ref="A1" location="Inhoudstafel!A1" display="Naar inhoudstafel" xr:uid="{00000000-0004-0000-0400-000000000000}"/>
  </hyperlinks>
  <pageMargins left="0.31496062992125984" right="0.31496062992125984" top="0.74803149606299213" bottom="0.74803149606299213" header="0.31496062992125984" footer="0.31496062992125984"/>
  <pageSetup paperSize="9" scale="60" orientation="landscape" r:id="rId1"/>
  <ignoredErrors>
    <ignoredError sqref="N1:P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2A8E0"/>
  </sheetPr>
  <dimension ref="A1:O22"/>
  <sheetViews>
    <sheetView showGridLines="0" zoomScale="75" zoomScaleNormal="75" workbookViewId="0">
      <selection activeCell="D26" sqref="D26"/>
    </sheetView>
  </sheetViews>
  <sheetFormatPr defaultRowHeight="15" x14ac:dyDescent="0.25"/>
  <cols>
    <col min="1" max="1" width="23.7109375" customWidth="1"/>
    <col min="2" max="2" width="43.28515625" customWidth="1"/>
    <col min="3" max="3" width="14.85546875" customWidth="1"/>
    <col min="4" max="4" width="13.140625" customWidth="1"/>
    <col min="5" max="5" width="12.7109375" customWidth="1"/>
    <col min="6" max="6" width="13.28515625" customWidth="1"/>
    <col min="7" max="7" width="14.5703125" bestFit="1" customWidth="1"/>
    <col min="8" max="8" width="16.7109375" bestFit="1" customWidth="1"/>
    <col min="9" max="9" width="17.140625" bestFit="1" customWidth="1"/>
    <col min="10" max="13" width="16.28515625" bestFit="1" customWidth="1"/>
    <col min="15" max="15" width="10.42578125" bestFit="1" customWidth="1"/>
  </cols>
  <sheetData>
    <row r="1" spans="1:14" ht="31.5" customHeight="1" x14ac:dyDescent="0.3">
      <c r="A1" s="115" t="s">
        <v>212</v>
      </c>
      <c r="B1" s="74"/>
      <c r="D1" s="40">
        <v>2010</v>
      </c>
      <c r="E1" s="40">
        <v>2011</v>
      </c>
      <c r="F1" s="40">
        <v>2012</v>
      </c>
      <c r="G1" s="40">
        <v>2013</v>
      </c>
      <c r="H1" s="40">
        <v>2014</v>
      </c>
      <c r="I1" s="40">
        <v>2015</v>
      </c>
      <c r="J1" s="40">
        <v>2016</v>
      </c>
      <c r="K1" s="40" t="s">
        <v>52</v>
      </c>
      <c r="L1" s="40" t="s">
        <v>229</v>
      </c>
      <c r="M1" s="40">
        <v>2019</v>
      </c>
    </row>
    <row r="2" spans="1:14" ht="10.5" customHeight="1" x14ac:dyDescent="0.3">
      <c r="A2" s="74"/>
      <c r="B2" s="74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x14ac:dyDescent="0.25">
      <c r="A3" s="135" t="s">
        <v>253</v>
      </c>
      <c r="B3" s="135"/>
      <c r="C3" s="160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14" x14ac:dyDescent="0.25">
      <c r="A4" s="142" t="s">
        <v>182</v>
      </c>
      <c r="B4" s="162"/>
      <c r="C4" s="163"/>
      <c r="D4" s="164">
        <f t="shared" ref="D4:L4" si="0">SUM(D5:D7)</f>
        <v>4290164</v>
      </c>
      <c r="E4" s="164">
        <f t="shared" si="0"/>
        <v>4271630</v>
      </c>
      <c r="F4" s="164">
        <f t="shared" si="0"/>
        <v>4383417</v>
      </c>
      <c r="G4" s="164">
        <f t="shared" si="0"/>
        <v>4375913</v>
      </c>
      <c r="H4" s="164">
        <f t="shared" si="0"/>
        <v>4402466</v>
      </c>
      <c r="I4" s="164">
        <f t="shared" si="0"/>
        <v>4423283</v>
      </c>
      <c r="J4" s="164">
        <f t="shared" si="0"/>
        <v>4463100</v>
      </c>
      <c r="K4" s="164">
        <f t="shared" si="0"/>
        <v>4466421</v>
      </c>
      <c r="L4" s="164">
        <f t="shared" si="0"/>
        <v>4486786</v>
      </c>
      <c r="M4" s="164">
        <v>4472932</v>
      </c>
    </row>
    <row r="5" spans="1:14" x14ac:dyDescent="0.25">
      <c r="A5" s="12" t="s">
        <v>47</v>
      </c>
      <c r="B5" s="12"/>
      <c r="C5" s="56"/>
      <c r="D5" s="7">
        <v>1750713</v>
      </c>
      <c r="E5" s="7">
        <v>1356350</v>
      </c>
      <c r="F5" s="7">
        <v>1000232</v>
      </c>
      <c r="G5" s="7">
        <v>813568</v>
      </c>
      <c r="H5" s="7">
        <v>680887</v>
      </c>
      <c r="I5" s="7">
        <v>575577</v>
      </c>
      <c r="J5" s="7">
        <v>457442</v>
      </c>
      <c r="K5" s="7">
        <v>375550</v>
      </c>
      <c r="L5" s="7">
        <v>317285</v>
      </c>
      <c r="M5" s="7">
        <v>261124</v>
      </c>
    </row>
    <row r="6" spans="1:14" x14ac:dyDescent="0.25">
      <c r="A6" s="12" t="s">
        <v>45</v>
      </c>
      <c r="B6" s="12"/>
      <c r="C6" s="56"/>
      <c r="D6" s="7">
        <v>839508</v>
      </c>
      <c r="E6" s="7">
        <v>1031402</v>
      </c>
      <c r="F6" s="7">
        <v>1185316</v>
      </c>
      <c r="G6" s="7">
        <v>1230360</v>
      </c>
      <c r="H6" s="7">
        <v>1328226</v>
      </c>
      <c r="I6" s="7">
        <v>1455781</v>
      </c>
      <c r="J6" s="7">
        <v>1554053</v>
      </c>
      <c r="K6" s="7">
        <v>1642271</v>
      </c>
      <c r="L6" s="7">
        <v>1635941</v>
      </c>
      <c r="M6" s="7">
        <v>2079066</v>
      </c>
      <c r="N6" s="60"/>
    </row>
    <row r="7" spans="1:14" x14ac:dyDescent="0.25">
      <c r="A7" s="12" t="s">
        <v>46</v>
      </c>
      <c r="B7" s="12"/>
      <c r="C7" s="56"/>
      <c r="D7" s="7">
        <v>1699943</v>
      </c>
      <c r="E7" s="7">
        <v>1883878</v>
      </c>
      <c r="F7" s="7">
        <v>2197869</v>
      </c>
      <c r="G7" s="7">
        <v>2331985</v>
      </c>
      <c r="H7" s="7">
        <v>2393353</v>
      </c>
      <c r="I7" s="7">
        <v>2391925</v>
      </c>
      <c r="J7" s="7">
        <v>2451605</v>
      </c>
      <c r="K7" s="7">
        <v>2448600</v>
      </c>
      <c r="L7" s="7">
        <v>2533560</v>
      </c>
      <c r="M7" s="7">
        <v>2132742</v>
      </c>
      <c r="N7" s="32"/>
    </row>
    <row r="8" spans="1:14" x14ac:dyDescent="0.25">
      <c r="A8" s="142" t="s">
        <v>183</v>
      </c>
      <c r="B8" s="142"/>
      <c r="C8" s="148"/>
      <c r="D8" s="142"/>
      <c r="E8" s="142"/>
      <c r="F8" s="142"/>
      <c r="G8" s="142">
        <v>3455402</v>
      </c>
      <c r="H8" s="142">
        <v>3641479.5</v>
      </c>
      <c r="I8" s="142">
        <v>3800081.5</v>
      </c>
      <c r="J8" s="142">
        <v>3942121</v>
      </c>
      <c r="K8" s="142">
        <v>4048264.5</v>
      </c>
      <c r="L8" s="142">
        <f>(K6+L6+K7+L7)/2</f>
        <v>4130186</v>
      </c>
      <c r="M8" s="142">
        <v>4190654.5</v>
      </c>
    </row>
    <row r="9" spans="1:14" x14ac:dyDescent="0.25">
      <c r="A9" s="18"/>
      <c r="B9" s="18"/>
      <c r="C9" s="81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4" x14ac:dyDescent="0.25">
      <c r="A10" s="135" t="s">
        <v>222</v>
      </c>
      <c r="B10" s="135"/>
      <c r="C10" s="160"/>
      <c r="D10" s="161"/>
      <c r="E10" s="161"/>
      <c r="F10" s="161"/>
      <c r="G10" s="135">
        <f t="shared" ref="G10:L10" si="1">SUM(G11:G13)</f>
        <v>4375913</v>
      </c>
      <c r="H10" s="135">
        <f t="shared" si="1"/>
        <v>4402466</v>
      </c>
      <c r="I10" s="135">
        <f t="shared" si="1"/>
        <v>4423283</v>
      </c>
      <c r="J10" s="135">
        <f t="shared" si="1"/>
        <v>4463100</v>
      </c>
      <c r="K10" s="135">
        <f t="shared" si="1"/>
        <v>4466421</v>
      </c>
      <c r="L10" s="135">
        <f t="shared" si="1"/>
        <v>4486786</v>
      </c>
      <c r="M10" s="135">
        <v>4472932</v>
      </c>
    </row>
    <row r="11" spans="1:14" x14ac:dyDescent="0.25">
      <c r="A11" s="12" t="s">
        <v>223</v>
      </c>
      <c r="B11" s="12"/>
      <c r="C11" s="56"/>
      <c r="D11" s="7"/>
      <c r="E11" s="7"/>
      <c r="F11" s="7"/>
      <c r="G11" s="7">
        <v>2629507</v>
      </c>
      <c r="H11" s="7">
        <v>2649264</v>
      </c>
      <c r="I11" s="7">
        <v>2672999</v>
      </c>
      <c r="J11" s="7">
        <v>2708767</v>
      </c>
      <c r="K11" s="7">
        <v>2690788</v>
      </c>
      <c r="L11" s="7">
        <v>2749942</v>
      </c>
      <c r="M11" s="7">
        <v>2757184</v>
      </c>
    </row>
    <row r="12" spans="1:14" x14ac:dyDescent="0.25">
      <c r="A12" s="12" t="s">
        <v>224</v>
      </c>
      <c r="B12" s="12"/>
      <c r="C12" s="56"/>
      <c r="D12" s="7"/>
      <c r="E12" s="7"/>
      <c r="F12" s="7"/>
      <c r="G12" s="7">
        <v>1365022</v>
      </c>
      <c r="H12" s="7">
        <v>1371890</v>
      </c>
      <c r="I12" s="7">
        <v>1372676</v>
      </c>
      <c r="J12" s="7">
        <v>1379380</v>
      </c>
      <c r="K12" s="7">
        <v>1406491</v>
      </c>
      <c r="L12" s="7">
        <v>1381801</v>
      </c>
      <c r="M12" s="7">
        <v>1367048</v>
      </c>
    </row>
    <row r="13" spans="1:14" x14ac:dyDescent="0.25">
      <c r="A13" s="12" t="s">
        <v>225</v>
      </c>
      <c r="B13" s="12"/>
      <c r="C13" s="56"/>
      <c r="D13" s="7"/>
      <c r="E13" s="7"/>
      <c r="F13" s="7"/>
      <c r="G13" s="7">
        <v>381384</v>
      </c>
      <c r="H13" s="7">
        <v>381312</v>
      </c>
      <c r="I13" s="7">
        <v>377608</v>
      </c>
      <c r="J13" s="7">
        <v>374953</v>
      </c>
      <c r="K13" s="7">
        <v>369142</v>
      </c>
      <c r="L13" s="7">
        <v>355043</v>
      </c>
      <c r="M13" s="7">
        <v>348700</v>
      </c>
    </row>
    <row r="14" spans="1:14" x14ac:dyDescent="0.25">
      <c r="A14" s="12"/>
      <c r="B14" s="12"/>
      <c r="C14" s="56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4" x14ac:dyDescent="0.25">
      <c r="A15" s="135" t="s">
        <v>48</v>
      </c>
      <c r="B15" s="135"/>
      <c r="C15" s="134" t="s">
        <v>213</v>
      </c>
      <c r="D15" s="135"/>
      <c r="E15" s="135"/>
      <c r="F15" s="135"/>
      <c r="G15" s="135"/>
      <c r="H15" s="135">
        <f>SUM(H16:H18)</f>
        <v>1050521477.3699999</v>
      </c>
      <c r="I15" s="135">
        <f>SUM(I16:I18)</f>
        <v>1097085467.6833601</v>
      </c>
      <c r="J15" s="135">
        <f>SUM(J16:J18)</f>
        <v>1152571687.0420926</v>
      </c>
      <c r="K15" s="135">
        <f>SUM(K16:K18)</f>
        <v>1199581355.1500032</v>
      </c>
      <c r="L15" s="135">
        <f>SUM(L16:L18)</f>
        <v>1211416002.0900033</v>
      </c>
      <c r="M15" s="135">
        <v>1229730816.6300023</v>
      </c>
    </row>
    <row r="16" spans="1:14" x14ac:dyDescent="0.25">
      <c r="A16" s="12" t="s">
        <v>49</v>
      </c>
      <c r="B16" s="12"/>
      <c r="C16" s="56"/>
      <c r="D16" s="7"/>
      <c r="E16" s="7"/>
      <c r="F16" s="7"/>
      <c r="G16" s="7"/>
      <c r="H16" s="7">
        <v>716725586.9799999</v>
      </c>
      <c r="I16" s="7">
        <v>761958774.38298202</v>
      </c>
      <c r="J16" s="7">
        <v>825701409.26577675</v>
      </c>
      <c r="K16" s="7">
        <v>852027696.29967403</v>
      </c>
      <c r="L16" s="7">
        <v>870887392.63505912</v>
      </c>
      <c r="M16" s="7">
        <v>896917737.39412808</v>
      </c>
    </row>
    <row r="17" spans="1:15" x14ac:dyDescent="0.25">
      <c r="A17" s="12" t="s">
        <v>50</v>
      </c>
      <c r="B17" s="12"/>
      <c r="C17" s="56"/>
      <c r="D17" s="7"/>
      <c r="E17" s="7"/>
      <c r="F17" s="7"/>
      <c r="G17" s="7"/>
      <c r="H17" s="7">
        <v>220232560.61000001</v>
      </c>
      <c r="I17" s="7">
        <v>235586432.92037803</v>
      </c>
      <c r="J17" s="7">
        <v>243272131.36631578</v>
      </c>
      <c r="K17" s="7">
        <v>266113605.87032911</v>
      </c>
      <c r="L17" s="7">
        <v>263736751.43494421</v>
      </c>
      <c r="M17" s="7">
        <v>262809474.47587407</v>
      </c>
    </row>
    <row r="18" spans="1:15" x14ac:dyDescent="0.25">
      <c r="A18" s="12" t="s">
        <v>51</v>
      </c>
      <c r="B18" s="12"/>
      <c r="C18" s="56"/>
      <c r="D18" s="7"/>
      <c r="E18" s="7"/>
      <c r="F18" s="7"/>
      <c r="G18" s="7"/>
      <c r="H18" s="7">
        <v>113563329.78</v>
      </c>
      <c r="I18" s="7">
        <v>99540260.379999995</v>
      </c>
      <c r="J18" s="7">
        <v>83598146.409999996</v>
      </c>
      <c r="K18" s="7">
        <v>81440052.980000004</v>
      </c>
      <c r="L18" s="7">
        <v>76791858.020000011</v>
      </c>
      <c r="M18" s="7">
        <v>70003604.75999999</v>
      </c>
      <c r="O18" s="2"/>
    </row>
    <row r="19" spans="1:15" x14ac:dyDescent="0.25">
      <c r="C19" s="99"/>
    </row>
    <row r="20" spans="1:15" x14ac:dyDescent="0.25">
      <c r="A20" s="135" t="s">
        <v>180</v>
      </c>
      <c r="B20" s="135"/>
      <c r="C20" s="134" t="s">
        <v>69</v>
      </c>
      <c r="D20" s="135"/>
      <c r="E20" s="135"/>
      <c r="F20" s="135"/>
      <c r="G20" s="135"/>
      <c r="H20" s="165">
        <f t="shared" ref="H20:M20" si="2">H21+H22</f>
        <v>21.441791895986231</v>
      </c>
      <c r="I20" s="165">
        <f t="shared" si="2"/>
        <v>21.875522215847212</v>
      </c>
      <c r="J20" s="165">
        <f t="shared" si="2"/>
        <v>22.597258781759287</v>
      </c>
      <c r="K20" s="165">
        <f t="shared" si="2"/>
        <v>23.016885840216286</v>
      </c>
      <c r="L20" s="165">
        <f t="shared" si="2"/>
        <v>22.892918625416289</v>
      </c>
      <c r="M20" s="165">
        <f t="shared" si="2"/>
        <v>23.061775749468293</v>
      </c>
      <c r="N20" s="102"/>
    </row>
    <row r="21" spans="1:15" x14ac:dyDescent="0.25">
      <c r="A21" s="50" t="s">
        <v>181</v>
      </c>
      <c r="B21" s="50"/>
      <c r="C21" s="100"/>
      <c r="D21" s="7"/>
      <c r="E21" s="7"/>
      <c r="F21" s="7"/>
      <c r="G21" s="7"/>
      <c r="H21" s="101">
        <f t="shared" ref="H21:M21" si="3">H16/H8/12</f>
        <v>16.401886169710231</v>
      </c>
      <c r="I21" s="101">
        <f t="shared" si="3"/>
        <v>16.709263875502451</v>
      </c>
      <c r="J21" s="101">
        <f t="shared" si="3"/>
        <v>17.454677512980464</v>
      </c>
      <c r="K21" s="101">
        <f t="shared" si="3"/>
        <v>17.538949845044176</v>
      </c>
      <c r="L21" s="101">
        <f t="shared" si="3"/>
        <v>17.571593479386866</v>
      </c>
      <c r="M21" s="101">
        <f t="shared" si="3"/>
        <v>17.835673349555304</v>
      </c>
      <c r="N21" s="102"/>
    </row>
    <row r="22" spans="1:15" x14ac:dyDescent="0.25">
      <c r="A22" s="12" t="s">
        <v>50</v>
      </c>
      <c r="B22" s="12"/>
      <c r="C22" s="56"/>
      <c r="D22" s="7"/>
      <c r="E22" s="7"/>
      <c r="F22" s="7"/>
      <c r="G22" s="7"/>
      <c r="H22" s="101">
        <f t="shared" ref="H22:M22" si="4">H17/H8/12</f>
        <v>5.0399057262760012</v>
      </c>
      <c r="I22" s="101">
        <f t="shared" si="4"/>
        <v>5.1662583403447622</v>
      </c>
      <c r="J22" s="101">
        <f t="shared" si="4"/>
        <v>5.1425812687788239</v>
      </c>
      <c r="K22" s="101">
        <f t="shared" si="4"/>
        <v>5.4779359951721105</v>
      </c>
      <c r="L22" s="101">
        <f t="shared" si="4"/>
        <v>5.321325146029424</v>
      </c>
      <c r="M22" s="101">
        <f t="shared" si="4"/>
        <v>5.2261023999129899</v>
      </c>
    </row>
  </sheetData>
  <hyperlinks>
    <hyperlink ref="A1" location="Inhoudstafel!A1" display="Naar inhoudstafel" xr:uid="{00000000-0004-0000-0500-000000000000}"/>
  </hyperlinks>
  <pageMargins left="0.31496062992125984" right="0.31496062992125984" top="0.74803149606299213" bottom="0.74803149606299213" header="0.31496062992125984" footer="0.31496062992125984"/>
  <pageSetup paperSize="9" scale="65" orientation="landscape" r:id="rId1"/>
  <ignoredErrors>
    <ignoredError sqref="G4 H4:L4" formulaRange="1"/>
    <ignoredError sqref="K1:L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2A8E0"/>
  </sheetPr>
  <dimension ref="A1:J23"/>
  <sheetViews>
    <sheetView showGridLines="0" zoomScale="75" zoomScaleNormal="75" workbookViewId="0">
      <selection activeCell="A7" sqref="A7"/>
    </sheetView>
  </sheetViews>
  <sheetFormatPr defaultRowHeight="15" x14ac:dyDescent="0.25"/>
  <cols>
    <col min="1" max="1" width="23.5703125" customWidth="1"/>
    <col min="2" max="2" width="47.140625" customWidth="1"/>
    <col min="3" max="3" width="12.7109375" bestFit="1" customWidth="1"/>
    <col min="4" max="4" width="15.85546875" customWidth="1"/>
    <col min="5" max="8" width="12.7109375" bestFit="1" customWidth="1"/>
  </cols>
  <sheetData>
    <row r="1" spans="1:8" ht="30.75" customHeight="1" x14ac:dyDescent="0.3">
      <c r="A1" s="115" t="s">
        <v>212</v>
      </c>
      <c r="B1" s="74"/>
      <c r="C1" s="40">
        <v>2014</v>
      </c>
      <c r="D1" s="40">
        <v>2015</v>
      </c>
      <c r="E1" s="40">
        <v>2016</v>
      </c>
      <c r="F1" s="40" t="s">
        <v>52</v>
      </c>
      <c r="G1" s="40" t="s">
        <v>229</v>
      </c>
      <c r="H1" s="40" t="s">
        <v>260</v>
      </c>
    </row>
    <row r="2" spans="1:8" ht="30.75" customHeight="1" x14ac:dyDescent="0.3">
      <c r="A2" s="74"/>
      <c r="B2" s="74"/>
      <c r="C2" s="40"/>
      <c r="D2" s="40"/>
      <c r="E2" s="40"/>
      <c r="F2" s="40"/>
      <c r="G2" s="40"/>
      <c r="H2" s="40"/>
    </row>
    <row r="3" spans="1:8" ht="18" customHeight="1" x14ac:dyDescent="0.25">
      <c r="A3" s="135" t="s">
        <v>244</v>
      </c>
      <c r="B3" s="135"/>
      <c r="C3" s="166"/>
      <c r="D3" s="166"/>
      <c r="E3" s="166"/>
      <c r="F3" s="166"/>
      <c r="G3" s="166"/>
      <c r="H3" s="166"/>
    </row>
    <row r="4" spans="1:8" ht="18" customHeight="1" x14ac:dyDescent="0.25">
      <c r="A4" s="127" t="s">
        <v>245</v>
      </c>
      <c r="B4" s="127"/>
      <c r="C4" s="167">
        <v>289209</v>
      </c>
      <c r="D4" s="167">
        <v>309193</v>
      </c>
      <c r="E4" s="167">
        <v>299891</v>
      </c>
      <c r="F4" s="167">
        <v>322364</v>
      </c>
      <c r="G4" s="167">
        <v>319112</v>
      </c>
      <c r="H4" s="167">
        <v>367523</v>
      </c>
    </row>
    <row r="5" spans="1:8" ht="18" customHeight="1" x14ac:dyDescent="0.25">
      <c r="A5" s="127" t="s">
        <v>264</v>
      </c>
      <c r="B5" s="127"/>
      <c r="C5" s="167"/>
      <c r="D5" s="129">
        <v>0.11610784557235121</v>
      </c>
      <c r="E5" s="129">
        <v>0.12064553599227468</v>
      </c>
      <c r="F5" s="129">
        <v>0.10534953605833708</v>
      </c>
      <c r="G5" s="129">
        <v>0.10159263105081591</v>
      </c>
      <c r="H5" s="129">
        <v>0.11472735601906861</v>
      </c>
    </row>
    <row r="6" spans="1:8" ht="18" customHeight="1" x14ac:dyDescent="0.25">
      <c r="A6" s="127" t="s">
        <v>265</v>
      </c>
      <c r="B6" s="127"/>
      <c r="C6" s="129">
        <v>0.11837858556053735</v>
      </c>
      <c r="D6" s="129">
        <v>0.12206650099883858</v>
      </c>
      <c r="E6" s="129">
        <v>0.12472743209120615</v>
      </c>
      <c r="F6" s="129">
        <v>0.1092360782797044</v>
      </c>
      <c r="G6" s="129">
        <v>0.10450954860102492</v>
      </c>
      <c r="H6" s="129">
        <v>0.12078618737860421</v>
      </c>
    </row>
    <row r="7" spans="1:8" ht="15" customHeight="1" x14ac:dyDescent="0.25">
      <c r="B7" s="14"/>
      <c r="C7" s="18"/>
      <c r="D7" s="59"/>
      <c r="E7" s="59"/>
      <c r="F7" s="59"/>
      <c r="G7" s="59"/>
      <c r="H7" s="59"/>
    </row>
    <row r="8" spans="1:8" x14ac:dyDescent="0.25">
      <c r="A8" s="135" t="s">
        <v>214</v>
      </c>
      <c r="B8" s="135"/>
      <c r="C8" s="166"/>
      <c r="D8" s="166"/>
      <c r="E8" s="166"/>
      <c r="F8" s="166"/>
      <c r="G8" s="166"/>
      <c r="H8" s="166"/>
    </row>
    <row r="9" spans="1:8" x14ac:dyDescent="0.25">
      <c r="A9" s="127" t="s">
        <v>226</v>
      </c>
      <c r="B9" s="168"/>
      <c r="C9" s="169">
        <v>0.20593118800410082</v>
      </c>
      <c r="D9" s="169">
        <v>0.18546607973952248</v>
      </c>
      <c r="E9" s="169">
        <v>0.20204814714471658</v>
      </c>
      <c r="F9" s="169">
        <v>0.23100000000000001</v>
      </c>
      <c r="G9" s="169">
        <v>0.23599999999999999</v>
      </c>
      <c r="H9" s="169">
        <v>0.218</v>
      </c>
    </row>
    <row r="10" spans="1:8" x14ac:dyDescent="0.25">
      <c r="A10" s="127" t="s">
        <v>227</v>
      </c>
      <c r="B10" s="127"/>
      <c r="C10" s="129">
        <v>0.15018121708382354</v>
      </c>
      <c r="D10" s="129">
        <v>0.10511143298379787</v>
      </c>
      <c r="E10" s="129">
        <v>0.1024048439901165</v>
      </c>
      <c r="F10" s="129">
        <v>0.12670412435460862</v>
      </c>
      <c r="G10" s="129">
        <v>0.126</v>
      </c>
      <c r="H10" s="129">
        <v>0.152</v>
      </c>
    </row>
    <row r="11" spans="1:8" x14ac:dyDescent="0.25">
      <c r="A11" s="127" t="s">
        <v>228</v>
      </c>
      <c r="B11" s="127"/>
      <c r="C11" s="129">
        <v>0.19323113102072764</v>
      </c>
      <c r="D11" s="129">
        <v>0.16700744159425754</v>
      </c>
      <c r="E11" s="129">
        <v>0.17729935799224544</v>
      </c>
      <c r="F11" s="129">
        <v>0.20399999999999999</v>
      </c>
      <c r="G11" s="129">
        <v>0.20599999999999999</v>
      </c>
      <c r="H11" s="129">
        <v>0.20100000000000001</v>
      </c>
    </row>
    <row r="12" spans="1:8" x14ac:dyDescent="0.25">
      <c r="A12" s="127" t="s">
        <v>193</v>
      </c>
      <c r="B12" s="127"/>
      <c r="C12" s="167">
        <v>1117891</v>
      </c>
      <c r="D12" s="167">
        <v>1009291</v>
      </c>
      <c r="E12" s="167">
        <v>1083392</v>
      </c>
      <c r="F12" s="167">
        <v>1179045</v>
      </c>
      <c r="G12" s="167">
        <v>1386484</v>
      </c>
      <c r="H12" s="167">
        <v>1216301</v>
      </c>
    </row>
    <row r="13" spans="1:8" x14ac:dyDescent="0.25">
      <c r="C13" s="2"/>
      <c r="D13" s="2"/>
      <c r="E13" s="2"/>
      <c r="F13" s="2"/>
      <c r="G13" s="2"/>
      <c r="H13" s="2"/>
    </row>
    <row r="14" spans="1:8" x14ac:dyDescent="0.25">
      <c r="A14" s="135" t="s">
        <v>194</v>
      </c>
      <c r="B14" s="135"/>
      <c r="C14" s="166"/>
      <c r="D14" s="166"/>
      <c r="E14" s="166"/>
      <c r="F14" s="166"/>
      <c r="G14" s="166"/>
      <c r="H14" s="166"/>
    </row>
    <row r="15" spans="1:8" x14ac:dyDescent="0.25">
      <c r="A15" s="127" t="s">
        <v>195</v>
      </c>
      <c r="B15" s="127"/>
      <c r="C15" s="129"/>
      <c r="D15" s="129"/>
      <c r="E15" s="129"/>
      <c r="F15" s="129">
        <v>0.16800000000000001</v>
      </c>
      <c r="G15" s="129">
        <v>0.13200000000000001</v>
      </c>
      <c r="H15" s="129">
        <v>0.14499999999999999</v>
      </c>
    </row>
    <row r="16" spans="1:8" x14ac:dyDescent="0.25">
      <c r="A16" s="127" t="s">
        <v>196</v>
      </c>
      <c r="B16" s="126"/>
      <c r="C16" s="170"/>
      <c r="D16" s="170"/>
      <c r="E16" s="170"/>
      <c r="F16" s="170">
        <v>0.16400750026237695</v>
      </c>
      <c r="G16" s="170">
        <v>0.17799999999999999</v>
      </c>
      <c r="H16" s="170">
        <v>0.17399999999999999</v>
      </c>
    </row>
    <row r="17" spans="1:10" x14ac:dyDescent="0.25">
      <c r="A17" s="127" t="s">
        <v>197</v>
      </c>
      <c r="B17" s="126"/>
      <c r="C17" s="170"/>
      <c r="D17" s="170"/>
      <c r="E17" s="170"/>
      <c r="F17" s="170">
        <v>9.904437962997395E-2</v>
      </c>
      <c r="G17" s="170">
        <v>9.5000000000000001E-2</v>
      </c>
      <c r="H17" s="170">
        <v>9.4E-2</v>
      </c>
    </row>
    <row r="18" spans="1:10" x14ac:dyDescent="0.25">
      <c r="A18" s="127" t="s">
        <v>198</v>
      </c>
      <c r="B18" s="126"/>
      <c r="C18" s="170"/>
      <c r="D18" s="170"/>
      <c r="E18" s="170"/>
      <c r="F18" s="170">
        <v>5.6594222220014055E-2</v>
      </c>
      <c r="G18" s="170">
        <v>2.5999999999999999E-2</v>
      </c>
      <c r="H18" s="170">
        <v>2.7E-2</v>
      </c>
    </row>
    <row r="20" spans="1:10" x14ac:dyDescent="0.25">
      <c r="A20" s="135" t="s">
        <v>199</v>
      </c>
      <c r="B20" s="135"/>
      <c r="C20" s="166"/>
      <c r="D20" s="166"/>
      <c r="E20" s="166"/>
      <c r="F20" s="166"/>
      <c r="G20" s="166"/>
      <c r="H20" s="166"/>
    </row>
    <row r="21" spans="1:10" x14ac:dyDescent="0.25">
      <c r="A21" s="127" t="s">
        <v>246</v>
      </c>
      <c r="B21" s="127"/>
      <c r="C21" s="129"/>
      <c r="D21" s="129"/>
      <c r="E21" s="129"/>
      <c r="F21" s="171">
        <v>445932</v>
      </c>
      <c r="G21" s="171">
        <v>510454</v>
      </c>
      <c r="H21" s="171">
        <v>483780</v>
      </c>
      <c r="J21" s="60"/>
    </row>
    <row r="22" spans="1:10" x14ac:dyDescent="0.25">
      <c r="A22" s="127" t="s">
        <v>247</v>
      </c>
      <c r="B22" s="127"/>
      <c r="C22" s="129"/>
      <c r="D22" s="129"/>
      <c r="E22" s="129"/>
      <c r="F22" s="167">
        <v>37600</v>
      </c>
      <c r="G22" s="167">
        <v>100421.9</v>
      </c>
      <c r="H22" s="167">
        <v>95144</v>
      </c>
    </row>
    <row r="23" spans="1:10" x14ac:dyDescent="0.25">
      <c r="A23" s="127" t="s">
        <v>248</v>
      </c>
      <c r="B23" s="127"/>
      <c r="C23" s="129"/>
      <c r="D23" s="129"/>
      <c r="E23" s="129"/>
      <c r="F23" s="172">
        <f>F22/(F21/2)</f>
        <v>0.16863557672470242</v>
      </c>
      <c r="G23" s="173">
        <f>G22/G21</f>
        <v>0.19673055750371238</v>
      </c>
      <c r="H23" s="173">
        <f>H22/H21</f>
        <v>0.19666790689983049</v>
      </c>
    </row>
  </sheetData>
  <hyperlinks>
    <hyperlink ref="A1" location="Inhoudstafel!A1" display="Naar inhoudstafel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F1:H1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Add Dossier Service and Service Nr Eventhandler (Added)</Name>
    <Synchronization>Synchronous</Synchronization>
    <Type>10001</Type>
    <SequenceNumber>10030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addin</Name>
    <Synchronization>Synchronous</Synchronization>
    <Type>1</Type>
    <SequenceNumber>10240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Update Dossier Service and Service Nr Eventhandler (Updated)</Name>
    <Synchronization>Synchronous</Synchronization>
    <Type>10002</Type>
    <SequenceNumber>10250</SequenceNumber>
    <Assembly>BIPT.Ged, Version=1.0.0.0, Culture=neutral, PublicKeyToken=423c9e81cd84949a</Assembly>
    <Class>BIPT.Ged.EventReceivers.FillOutDossierServiceAndServiceNumber.FillOutDossierServiceAndServiceNumber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ssier Document FR" ma:contentTypeID="0x0101004FA21861B553C741A1AA3F2E5831C1CC0507009B219235E488424E858FD5EE5506841D" ma:contentTypeVersion="75" ma:contentTypeDescription="Een nieuw document maken." ma:contentTypeScope="" ma:versionID="9f2ee97b43031e54cb521fddb4aa6420">
  <xsd:schema xmlns:xsd="http://www.w3.org/2001/XMLSchema" xmlns:xs="http://www.w3.org/2001/XMLSchema" xmlns:p="http://schemas.microsoft.com/office/2006/metadata/properties" xmlns:ns2="2b4b6fc7-bde4-44a8-8bca-a78eb25a27e9" targetNamespace="http://schemas.microsoft.com/office/2006/metadata/properties" ma:root="true" ma:fieldsID="30adff540768785fa470e8bdbf9ff5bc" ns2:_="">
    <xsd:import namespace="2b4b6fc7-bde4-44a8-8bca-a78eb25a27e9"/>
    <xsd:element name="properties">
      <xsd:complexType>
        <xsd:sequence>
          <xsd:element name="documentManagement">
            <xsd:complexType>
              <xsd:all>
                <xsd:element ref="ns2:Dossier_x0020_Number" minOccurs="0"/>
                <xsd:element ref="ns2:History_x0020_of_x0020_Remarks" minOccurs="0"/>
                <xsd:element ref="ns2:Administrative" minOccurs="0"/>
                <xsd:element ref="ns2:Confidential1" minOccurs="0"/>
                <xsd:element ref="ns2:Version_x0020_Published_x0020_To_x0020_Library" minOccurs="0"/>
                <xsd:element ref="ns2:_dlc_DocIdUrl" minOccurs="0"/>
                <xsd:element ref="ns2:_dlc_DocIdPersistId" minOccurs="0"/>
                <xsd:element ref="ns2:abfcb1f17d5f4555baa428617776f0c1" minOccurs="0"/>
                <xsd:element ref="ns2:TaxCatchAllLabel" minOccurs="0"/>
                <xsd:element ref="ns2:d4ec9b080060429989fa5f940ee3f852" minOccurs="0"/>
                <xsd:element ref="ns2:TaxCatchAll" minOccurs="0"/>
                <xsd:element ref="ns2:o3cf37d2a5d34fd7955003a053893e5e" minOccurs="0"/>
                <xsd:element ref="ns2:_dlc_DocId" minOccurs="0"/>
                <xsd:element ref="ns2:Version_x0020_Published_x0020_to_x0020_Internet" minOccurs="0"/>
                <xsd:element ref="ns2:QuickPartDocumentId" minOccurs="0"/>
                <xsd:element ref="ns2:Master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6fc7-bde4-44a8-8bca-a78eb25a27e9" elementFormDefault="qualified">
    <xsd:import namespace="http://schemas.microsoft.com/office/2006/documentManagement/types"/>
    <xsd:import namespace="http://schemas.microsoft.com/office/infopath/2007/PartnerControls"/>
    <xsd:element name="Dossier_x0020_Number" ma:index="5" nillable="true" ma:displayName="Dossier Number" ma:internalName="Dossier_x0020_Number">
      <xsd:simpleType>
        <xsd:restriction base="dms:Text">
          <xsd:maxLength value="255"/>
        </xsd:restriction>
      </xsd:simpleType>
    </xsd:element>
    <xsd:element name="History_x0020_of_x0020_Remarks" ma:index="6" nillable="true" ma:displayName="History of Remarks" ma:internalName="History_x0020_of_x0020_Remarks">
      <xsd:simpleType>
        <xsd:restriction base="dms:Note">
          <xsd:maxLength value="255"/>
        </xsd:restriction>
      </xsd:simpleType>
    </xsd:element>
    <xsd:element name="Administrative" ma:index="7" nillable="true" ma:displayName="Administrative" ma:default="0" ma:internalName="Administrative">
      <xsd:simpleType>
        <xsd:restriction base="dms:Boolean"/>
      </xsd:simpleType>
    </xsd:element>
    <xsd:element name="Confidential1" ma:index="8" nillable="true" ma:displayName="Confidential" ma:default="0" ma:internalName="Confidential1">
      <xsd:simpleType>
        <xsd:restriction base="dms:Boolean"/>
      </xsd:simpleType>
    </xsd:element>
    <xsd:element name="Version_x0020_Published_x0020_To_x0020_Library" ma:index="9" nillable="true" ma:displayName="Version Published to Library" ma:internalName="Version_x0020_Published_x0020_To_x0020_Library">
      <xsd:simpleType>
        <xsd:restriction base="dms:Text">
          <xsd:maxLength value="255"/>
        </xsd:restriction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bfcb1f17d5f4555baa428617776f0c1" ma:index="12" nillable="true" ma:taxonomy="true" ma:internalName="abfcb1f17d5f4555baa428617776f0c1" ma:taxonomyFieldName="Document_x0020_Type" ma:displayName="Document Type" ma:default="" ma:fieldId="{abfcb1f1-7d5f-4555-baa4-28617776f0c1}" ma:sspId="75b52628-4ae0-409d-b79e-6d0521b2c784" ma:termSetId="0add2e65-f722-4dcd-91e5-e26bd7158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4" nillable="true" ma:displayName="Taxonomy Catch All Column1" ma:hidden="true" ma:list="{aacb5312-317a-4e89-849f-bd5396de7844}" ma:internalName="TaxCatchAllLabel" ma:readOnly="true" ma:showField="CatchAllDataLabel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c9b080060429989fa5f940ee3f852" ma:index="18" nillable="true" ma:taxonomy="true" ma:internalName="d4ec9b080060429989fa5f940ee3f852" ma:taxonomyFieldName="Service1" ma:displayName="Service" ma:readOnly="false" ma:default="" ma:fieldId="{d4ec9b08-0060-4299-89fa-5f940ee3f852}" ma:sspId="75b52628-4ae0-409d-b79e-6d0521b2c784" ma:termSetId="46b8dc2a-6372-4a7b-bdd4-6b0c5e7874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aacb5312-317a-4e89-849f-bd5396de7844}" ma:internalName="TaxCatchAll" ma:showField="CatchAllData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3cf37d2a5d34fd7955003a053893e5e" ma:index="20" nillable="true" ma:taxonomy="true" ma:internalName="o3cf37d2a5d34fd7955003a053893e5e" ma:taxonomyFieldName="Languages" ma:displayName="Languages" ma:default="" ma:fieldId="{83cf37d2-a5d3-4fd7-9550-03a053893e5e}" ma:taxonomyMulti="true" ma:sspId="75b52628-4ae0-409d-b79e-6d0521b2c784" ma:termSetId="af6d6fcf-919d-4606-93f6-1f52cad124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Version_x0020_Published_x0020_to_x0020_Internet" ma:index="24" nillable="true" ma:displayName="Version Published to Internet" ma:internalName="Version_x0020_Published_x0020_to_x0020_Internet">
      <xsd:simpleType>
        <xsd:restriction base="dms:Text">
          <xsd:maxLength value="255"/>
        </xsd:restriction>
      </xsd:simpleType>
    </xsd:element>
    <xsd:element name="QuickPartDocumentId" ma:index="25" nillable="true" ma:displayName="Doc Id" ma:internalName="QuickPartDocumentId" ma:readOnly="false">
      <xsd:simpleType>
        <xsd:restriction base="dms:Text">
          <xsd:maxLength value="255"/>
        </xsd:restriction>
      </xsd:simpleType>
    </xsd:element>
    <xsd:element name="Master_x0020_Id" ma:index="26" nillable="true" ma:displayName="Master Id" ma:internalName="Master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Published_x0020_To_x0020_Library xmlns="2b4b6fc7-bde4-44a8-8bca-a78eb25a27e9" xsi:nil="true"/>
    <d4ec9b080060429989fa5f940ee3f852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3dc32a1e-2d29-47d1-bb47-d7c7ebf545f4</TermId>
        </TermInfo>
      </Terms>
    </d4ec9b080060429989fa5f940ee3f852>
    <o3cf37d2a5d34fd7955003a053893e5e xmlns="2b4b6fc7-bde4-44a8-8bca-a78eb25a27e9">
      <Terms xmlns="http://schemas.microsoft.com/office/infopath/2007/PartnerControls"/>
    </o3cf37d2a5d34fd7955003a053893e5e>
    <Master_x0020_Id xmlns="2b4b6fc7-bde4-44a8-8bca-a78eb25a27e9" xsi:nil="true"/>
    <Dossier_x0020_Number xmlns="2b4b6fc7-bde4-44a8-8bca-a78eb25a27e9">2012-000261</Dossier_x0020_Number>
    <Version_x0020_Published_x0020_to_x0020_Internet xmlns="2b4b6fc7-bde4-44a8-8bca-a78eb25a27e9" xsi:nil="true"/>
    <abfcb1f17d5f4555baa428617776f0c1 xmlns="2b4b6fc7-bde4-44a8-8bca-a78eb25a27e9">
      <Terms xmlns="http://schemas.microsoft.com/office/infopath/2007/PartnerControls"/>
    </abfcb1f17d5f4555baa428617776f0c1>
    <TaxCatchAll xmlns="2b4b6fc7-bde4-44a8-8bca-a78eb25a27e9">
      <Value>13</Value>
    </TaxCatchAll>
    <QuickPartDocumentId xmlns="2b4b6fc7-bde4-44a8-8bca-a78eb25a27e9">DS12-573-647</QuickPartDocumentId>
    <History_x0020_of_x0020_Remarks xmlns="2b4b6fc7-bde4-44a8-8bca-a78eb25a27e9" xsi:nil="true"/>
    <Administrative xmlns="2b4b6fc7-bde4-44a8-8bca-a78eb25a27e9">false</Administrative>
    <Confidential1 xmlns="2b4b6fc7-bde4-44a8-8bca-a78eb25a27e9">false</Confidential1>
    <_dlc_DocId xmlns="2b4b6fc7-bde4-44a8-8bca-a78eb25a27e9">DS12-573-647</_dlc_DocId>
    <_dlc_DocIdUrl xmlns="2b4b6fc7-bde4-44a8-8bca-a78eb25a27e9">
      <Url>http://teamworkingspace.bipt.local/sites/dossiers2012/7/2012000261/_layouts/DocIdRedir.aspx?ID=DS12-573-647</Url>
      <Description>DS12-573-647</Description>
    </_dlc_DocIdUrl>
  </documentManagement>
</p:properties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89692C35-7F9D-4BA5-8FF3-CDEF9BE806B2}"/>
</file>

<file path=customXml/itemProps2.xml><?xml version="1.0" encoding="utf-8"?>
<ds:datastoreItem xmlns:ds="http://schemas.openxmlformats.org/officeDocument/2006/customXml" ds:itemID="{D95DF7A6-2E1A-4585-B72A-DE70EA7EF5DF}"/>
</file>

<file path=customXml/itemProps3.xml><?xml version="1.0" encoding="utf-8"?>
<ds:datastoreItem xmlns:ds="http://schemas.openxmlformats.org/officeDocument/2006/customXml" ds:itemID="{2E1CA67C-ADBE-472C-950B-BF39749FE56B}"/>
</file>

<file path=customXml/itemProps4.xml><?xml version="1.0" encoding="utf-8"?>
<ds:datastoreItem xmlns:ds="http://schemas.openxmlformats.org/officeDocument/2006/customXml" ds:itemID="{FD8537EA-7FF9-4CD4-82CD-3C359249AB87}"/>
</file>

<file path=customXml/itemProps5.xml><?xml version="1.0" encoding="utf-8"?>
<ds:datastoreItem xmlns:ds="http://schemas.openxmlformats.org/officeDocument/2006/customXml" ds:itemID="{D2E7273E-2642-43F5-AB08-600EA8586E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Inhoudstafel</vt:lpstr>
      <vt:lpstr>marktcontext</vt:lpstr>
      <vt:lpstr>vast</vt:lpstr>
      <vt:lpstr>mobiel</vt:lpstr>
      <vt:lpstr>multiplay</vt:lpstr>
      <vt:lpstr>TV</vt:lpstr>
      <vt:lpstr>Klantverloop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Verdickt Hilde</dc:creator>
  <cp:lastModifiedBy>Verdickt Hilde</cp:lastModifiedBy>
  <cp:lastPrinted>2019-04-15T12:33:53Z</cp:lastPrinted>
  <dcterms:created xsi:type="dcterms:W3CDTF">2016-06-21T06:43:25Z</dcterms:created>
  <dcterms:modified xsi:type="dcterms:W3CDTF">2020-05-25T13:20:25Z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0x0101004FA21861B553C741A1AA3F2E5831C1CC0507009B219235E488424E858FD5EE5506841D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7bd6ed42-6649-4684-8136-4427720f767b</vt:lpwstr>
  </property>
  <property fmtid="{D5CDD505-2E9C-101B-9397-08002B2CF9AE}" pid="11" name="Document Type">
    <vt:lpwstr/>
  </property>
  <property fmtid="{D5CDD505-2E9C-101B-9397-08002B2CF9AE}" pid="12" name="Answer or Initiative">
    <vt:lpwstr/>
  </property>
</Properties>
</file>