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charts/colors3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ibril\Google Drive\MARPIJ (Shared)\201. IBPT - WACC 2018\"/>
    </mc:Choice>
  </mc:AlternateContent>
  <xr:revisionPtr revIDLastSave="0" documentId="13_ncr:1_{FAE42AEA-E348-472C-9F02-9AEA6AC8C6F3}" xr6:coauthVersionLast="43" xr6:coauthVersionMax="43" xr10:uidLastSave="{00000000-0000-0000-0000-000000000000}"/>
  <bookViews>
    <workbookView xWindow="-108" yWindow="-108" windowWidth="23256" windowHeight="12576" tabRatio="526" activeTab="1" xr2:uid="{00000000-000D-0000-FFFF-FFFF00000000}"/>
  </bookViews>
  <sheets>
    <sheet name="WACC BIPT 2019" sheetId="8" r:id="rId1"/>
    <sheet name="To Ms Word A" sheetId="12" r:id="rId2"/>
    <sheet name="Cullen July 2018 (to update)" sheetId="13" state="hidden" r:id="rId3"/>
    <sheet name="To Ms Word B (to update)" sheetId="14" state="hidden" r:id="rId4"/>
    <sheet name="Cullen Dec 2018" sheetId="15" r:id="rId5"/>
    <sheet name="To Ms Word B" sheetId="16" r:id="rId6"/>
  </sheets>
  <definedNames>
    <definedName name="Blp_Fields" localSheetId="5">#REF!</definedName>
    <definedName name="Blp_Fields">#REF!</definedName>
    <definedName name="BLPB_Facteurs_de_dette" localSheetId="5">#REF!</definedName>
    <definedName name="BLPB_Facteurs_de_dette">#REF!</definedName>
    <definedName name="BLPB_Valeur_Entrep_VE" localSheetId="5">#REF!</definedName>
    <definedName name="BLPB_Valeur_Entrep_VE">#REF!</definedName>
    <definedName name="HTML_CodePage" hidden="1">1252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4" i="12" l="1"/>
  <c r="F13" i="8" l="1"/>
  <c r="A63" i="12"/>
  <c r="D65" i="12" s="1"/>
  <c r="A38" i="12"/>
  <c r="D40" i="12" s="1"/>
  <c r="D5" i="12"/>
  <c r="D1" i="12"/>
  <c r="A1" i="12"/>
  <c r="D38" i="12"/>
  <c r="D63" i="12"/>
  <c r="D73" i="12"/>
  <c r="E73" i="12"/>
  <c r="F73" i="12"/>
  <c r="G73" i="12"/>
  <c r="H73" i="12"/>
  <c r="I73" i="12"/>
  <c r="C73" i="12"/>
  <c r="F7" i="8" l="1"/>
  <c r="E7" i="8" s="1"/>
  <c r="G7" i="8" l="1"/>
  <c r="K7" i="8"/>
  <c r="J7" i="8"/>
  <c r="I7" i="8"/>
  <c r="H7" i="8"/>
  <c r="F12" i="8" l="1"/>
  <c r="G12" i="8"/>
  <c r="F12" i="12" s="1"/>
  <c r="H12" i="8"/>
  <c r="I12" i="8"/>
  <c r="H12" i="12" s="1"/>
  <c r="J12" i="8"/>
  <c r="K12" i="8"/>
  <c r="E12" i="8"/>
  <c r="K110" i="16" l="1"/>
  <c r="C100" i="16"/>
  <c r="E133" i="16"/>
  <c r="E132" i="16"/>
  <c r="E135" i="16"/>
  <c r="E125" i="16"/>
  <c r="F124" i="16"/>
  <c r="E124" i="16"/>
  <c r="E123" i="16"/>
  <c r="E82" i="16"/>
  <c r="G73" i="16"/>
  <c r="H73" i="16" s="1"/>
  <c r="L70" i="16"/>
  <c r="K70" i="16"/>
  <c r="J70" i="16"/>
  <c r="I70" i="16"/>
  <c r="H70" i="16"/>
  <c r="G70" i="16"/>
  <c r="F70" i="16"/>
  <c r="E70" i="16"/>
  <c r="K69" i="16"/>
  <c r="J69" i="16"/>
  <c r="I69" i="16"/>
  <c r="H69" i="16"/>
  <c r="G69" i="16"/>
  <c r="F69" i="16"/>
  <c r="E69" i="16"/>
  <c r="K60" i="16"/>
  <c r="J60" i="16"/>
  <c r="I60" i="16"/>
  <c r="H60" i="16"/>
  <c r="G60" i="16"/>
  <c r="F60" i="16"/>
  <c r="E60" i="16"/>
  <c r="I31" i="16"/>
  <c r="J31" i="16" s="1"/>
  <c r="D15" i="16" s="1"/>
  <c r="B25" i="16"/>
  <c r="G15" i="16" l="1"/>
  <c r="F70" i="13"/>
  <c r="F70" i="14"/>
  <c r="E70" i="13"/>
  <c r="E70" i="14"/>
  <c r="G70" i="13"/>
  <c r="H70" i="13"/>
  <c r="I70" i="13"/>
  <c r="J70" i="13"/>
  <c r="K70" i="13"/>
  <c r="L70" i="13"/>
  <c r="G70" i="14"/>
  <c r="H70" i="14"/>
  <c r="I70" i="14"/>
  <c r="J70" i="14"/>
  <c r="K70" i="14"/>
  <c r="L70" i="14"/>
  <c r="L70" i="8"/>
  <c r="F69" i="13"/>
  <c r="G69" i="13"/>
  <c r="H69" i="13"/>
  <c r="I69" i="13"/>
  <c r="J69" i="13"/>
  <c r="K69" i="13"/>
  <c r="F69" i="14"/>
  <c r="G69" i="14"/>
  <c r="H69" i="14"/>
  <c r="I69" i="14"/>
  <c r="J69" i="14"/>
  <c r="K69" i="14"/>
  <c r="E69" i="13"/>
  <c r="E69" i="14"/>
  <c r="F60" i="13" l="1"/>
  <c r="G60" i="13"/>
  <c r="H60" i="13"/>
  <c r="I60" i="13"/>
  <c r="J60" i="13"/>
  <c r="K60" i="13"/>
  <c r="F60" i="14"/>
  <c r="G60" i="14"/>
  <c r="H60" i="14"/>
  <c r="I60" i="14"/>
  <c r="J60" i="14"/>
  <c r="K60" i="14"/>
  <c r="E60" i="13"/>
  <c r="E60" i="14"/>
  <c r="AC13" i="8" l="1"/>
  <c r="AD13" i="8"/>
  <c r="AE13" i="8"/>
  <c r="AB13" i="8"/>
  <c r="AA13" i="8"/>
  <c r="Y13" i="8"/>
  <c r="J18" i="8" l="1"/>
  <c r="T32" i="8" l="1"/>
  <c r="P29" i="8"/>
  <c r="P13" i="8" l="1"/>
  <c r="Z7" i="8"/>
  <c r="Y16" i="8" l="1"/>
  <c r="Y3" i="8"/>
  <c r="AB29" i="8"/>
  <c r="AC29" i="8"/>
  <c r="AD29" i="8"/>
  <c r="AE29" i="8"/>
  <c r="AA29" i="8"/>
  <c r="Y29" i="8"/>
  <c r="Y7" i="8"/>
  <c r="AA7" i="8"/>
  <c r="AB7" i="8"/>
  <c r="AC7" i="8"/>
  <c r="AD7" i="8"/>
  <c r="AE7" i="8"/>
  <c r="AB3" i="8"/>
  <c r="AC3" i="8"/>
  <c r="AD3" i="8"/>
  <c r="AE3" i="8"/>
  <c r="AB5" i="8"/>
  <c r="AC5" i="8"/>
  <c r="AD5" i="8"/>
  <c r="AE5" i="8"/>
  <c r="AA5" i="8"/>
  <c r="AA3" i="8"/>
  <c r="Y5" i="8"/>
  <c r="Z5" i="8"/>
  <c r="Z3" i="8"/>
  <c r="H5" i="8"/>
  <c r="I5" i="8"/>
  <c r="J5" i="8"/>
  <c r="T5" i="8" s="1"/>
  <c r="K5" i="8"/>
  <c r="G5" i="8"/>
  <c r="Q5" i="8" s="1"/>
  <c r="E5" i="8"/>
  <c r="O5" i="8" s="1"/>
  <c r="H3" i="8"/>
  <c r="I3" i="8"/>
  <c r="J3" i="8"/>
  <c r="K3" i="8"/>
  <c r="G3" i="8"/>
  <c r="E3" i="8"/>
  <c r="O3" i="8" s="1"/>
  <c r="AB50" i="8"/>
  <c r="AC50" i="8" s="1"/>
  <c r="AB49" i="8"/>
  <c r="AB48" i="8"/>
  <c r="AC48" i="8" s="1"/>
  <c r="AB47" i="8"/>
  <c r="AC47" i="8" s="1"/>
  <c r="AB46" i="8"/>
  <c r="AC46" i="8" s="1"/>
  <c r="AB45" i="8"/>
  <c r="AB44" i="8"/>
  <c r="AB43" i="8"/>
  <c r="AC43" i="8" s="1"/>
  <c r="AB42" i="8"/>
  <c r="AC42" i="8" s="1"/>
  <c r="AE18" i="8"/>
  <c r="AD18" i="8"/>
  <c r="AC18" i="8"/>
  <c r="AB18" i="8"/>
  <c r="AA18" i="8"/>
  <c r="Z18" i="8"/>
  <c r="Y18" i="8"/>
  <c r="AC16" i="8"/>
  <c r="AC14" i="8" s="1"/>
  <c r="AE12" i="8"/>
  <c r="AE16" i="8" s="1"/>
  <c r="AD12" i="8"/>
  <c r="AD16" i="8" s="1"/>
  <c r="AD14" i="8" s="1"/>
  <c r="AB12" i="8"/>
  <c r="AB16" i="8" s="1"/>
  <c r="AA12" i="8"/>
  <c r="AA16" i="8" s="1"/>
  <c r="Z12" i="8"/>
  <c r="Z16" i="8" s="1"/>
  <c r="Z14" i="8" s="1"/>
  <c r="AE9" i="8"/>
  <c r="AD9" i="8"/>
  <c r="AD10" i="8" s="1"/>
  <c r="AC9" i="8"/>
  <c r="AC10" i="8" s="1"/>
  <c r="AB9" i="8"/>
  <c r="AA9" i="8"/>
  <c r="AA10" i="8" s="1"/>
  <c r="Z9" i="8"/>
  <c r="Z10" i="8" s="1"/>
  <c r="Y9" i="8"/>
  <c r="Y10" i="8" s="1"/>
  <c r="F5" i="8"/>
  <c r="P5" i="8" s="1"/>
  <c r="D43" i="12" s="1"/>
  <c r="D68" i="12" s="1"/>
  <c r="F3" i="8"/>
  <c r="R5" i="8" l="1"/>
  <c r="U5" i="8"/>
  <c r="U3" i="8"/>
  <c r="S5" i="8"/>
  <c r="T3" i="8"/>
  <c r="P3" i="8"/>
  <c r="D42" i="12" s="1"/>
  <c r="D67" i="12" s="1"/>
  <c r="O49" i="8"/>
  <c r="P49" i="8" s="1"/>
  <c r="O50" i="8"/>
  <c r="P50" i="8" s="1"/>
  <c r="O43" i="8"/>
  <c r="P43" i="8" s="1"/>
  <c r="O42" i="8"/>
  <c r="P42" i="8" s="1"/>
  <c r="O44" i="8"/>
  <c r="P44" i="8" s="1"/>
  <c r="O45" i="8"/>
  <c r="P45" i="8" s="1"/>
  <c r="O46" i="8"/>
  <c r="P46" i="8" s="1"/>
  <c r="O47" i="8"/>
  <c r="P47" i="8" s="1"/>
  <c r="O48" i="8"/>
  <c r="P48" i="8" s="1"/>
  <c r="Q3" i="8"/>
  <c r="S3" i="8"/>
  <c r="Z6" i="8"/>
  <c r="R3" i="8"/>
  <c r="AA14" i="8"/>
  <c r="AA15" i="8" s="1"/>
  <c r="AA20" i="8" s="1"/>
  <c r="AB14" i="8"/>
  <c r="AB15" i="8" s="1"/>
  <c r="AB20" i="8" s="1"/>
  <c r="AD6" i="8"/>
  <c r="Y14" i="8"/>
  <c r="Y15" i="8" s="1"/>
  <c r="Y20" i="8" s="1"/>
  <c r="AC45" i="8"/>
  <c r="AC44" i="8"/>
  <c r="AE14" i="8"/>
  <c r="AE15" i="8" s="1"/>
  <c r="AE20" i="8" s="1"/>
  <c r="AB6" i="8"/>
  <c r="AD15" i="8"/>
  <c r="AD20" i="8" s="1"/>
  <c r="AE6" i="8"/>
  <c r="AA6" i="8"/>
  <c r="AC6" i="8"/>
  <c r="Z15" i="8"/>
  <c r="Z20" i="8" s="1"/>
  <c r="AC15" i="8"/>
  <c r="AC20" i="8" s="1"/>
  <c r="AC49" i="8"/>
  <c r="Y6" i="8"/>
  <c r="AB10" i="8"/>
  <c r="AE10" i="8"/>
  <c r="I31" i="14"/>
  <c r="J31" i="14" s="1"/>
  <c r="E29" i="8"/>
  <c r="O29" i="8" s="1"/>
  <c r="H29" i="8"/>
  <c r="R29" i="8" s="1"/>
  <c r="I29" i="8"/>
  <c r="S29" i="8" s="1"/>
  <c r="J29" i="8"/>
  <c r="T29" i="8" s="1"/>
  <c r="K29" i="8"/>
  <c r="U29" i="8" s="1"/>
  <c r="G29" i="8"/>
  <c r="Q29" i="8" s="1"/>
  <c r="H13" i="8"/>
  <c r="R13" i="8" s="1"/>
  <c r="I13" i="8"/>
  <c r="S13" i="8" s="1"/>
  <c r="J13" i="8"/>
  <c r="T13" i="8" s="1"/>
  <c r="K13" i="8"/>
  <c r="U13" i="8" s="1"/>
  <c r="G13" i="8"/>
  <c r="Q13" i="8" s="1"/>
  <c r="E13" i="8"/>
  <c r="O13" i="8" l="1"/>
  <c r="E125" i="14"/>
  <c r="E135" i="14"/>
  <c r="E134" i="14"/>
  <c r="E131" i="14"/>
  <c r="F124" i="14"/>
  <c r="E124" i="14"/>
  <c r="E123" i="14"/>
  <c r="D15" i="14"/>
  <c r="L111" i="14"/>
  <c r="G73" i="14"/>
  <c r="E82" i="14"/>
  <c r="B25" i="14"/>
  <c r="L16" i="12" l="1"/>
  <c r="L23" i="12"/>
  <c r="I23" i="12"/>
  <c r="E23" i="12"/>
  <c r="I20" i="12"/>
  <c r="E16" i="12"/>
  <c r="I16" i="12"/>
  <c r="I14" i="12"/>
  <c r="L12" i="12"/>
  <c r="I12" i="12"/>
  <c r="E7" i="12"/>
  <c r="E12" i="12"/>
  <c r="L11" i="12"/>
  <c r="I11" i="12"/>
  <c r="E11" i="12"/>
  <c r="AS16" i="8"/>
  <c r="AU16" i="8"/>
  <c r="AV16" i="8"/>
  <c r="AR16" i="8"/>
  <c r="AN29" i="8"/>
  <c r="AM29" i="8"/>
  <c r="AL29" i="8"/>
  <c r="AK29" i="8"/>
  <c r="AJ29" i="8"/>
  <c r="AK13" i="8"/>
  <c r="I16" i="8" l="1"/>
  <c r="E16" i="8"/>
  <c r="O16" i="8" l="1"/>
  <c r="O12" i="8" s="1"/>
  <c r="E14" i="8"/>
  <c r="O14" i="8" s="1"/>
  <c r="C56" i="12" s="1"/>
  <c r="I14" i="8"/>
  <c r="S14" i="8" s="1"/>
  <c r="G56" i="12" s="1"/>
  <c r="S16" i="8"/>
  <c r="S12" i="8" s="1"/>
  <c r="AJ12" i="8"/>
  <c r="AS5" i="8"/>
  <c r="E18" i="8"/>
  <c r="G18" i="8"/>
  <c r="Q18" i="8" s="1"/>
  <c r="E50" i="12" s="1"/>
  <c r="E75" i="12" s="1"/>
  <c r="H18" i="8"/>
  <c r="AV13" i="8"/>
  <c r="AN13" i="8" s="1"/>
  <c r="AU13" i="8"/>
  <c r="AM13" i="8" s="1"/>
  <c r="AR13" i="8"/>
  <c r="AT13" i="8"/>
  <c r="AL13" i="8" s="1"/>
  <c r="AU4" i="8"/>
  <c r="AV4" i="8"/>
  <c r="AU7" i="8"/>
  <c r="AV7" i="8"/>
  <c r="AV3" i="8"/>
  <c r="AU3" i="8"/>
  <c r="AR4" i="8"/>
  <c r="AT4" i="8"/>
  <c r="AR7" i="8"/>
  <c r="AT7" i="8"/>
  <c r="AT3" i="8"/>
  <c r="AR3" i="8"/>
  <c r="AS15" i="8"/>
  <c r="E13" i="12" s="1"/>
  <c r="AT10" i="8"/>
  <c r="G57" i="12" l="1"/>
  <c r="G82" i="12" s="1"/>
  <c r="G81" i="12"/>
  <c r="C57" i="12"/>
  <c r="C82" i="12" s="1"/>
  <c r="C81" i="12"/>
  <c r="AJ18" i="8"/>
  <c r="O18" i="8"/>
  <c r="C50" i="12" s="1"/>
  <c r="C75" i="12" s="1"/>
  <c r="AL18" i="8"/>
  <c r="R18" i="8"/>
  <c r="F50" i="12" s="1"/>
  <c r="F75" i="12" s="1"/>
  <c r="AM18" i="8"/>
  <c r="T18" i="8"/>
  <c r="H50" i="12" s="1"/>
  <c r="H75" i="12" s="1"/>
  <c r="AV5" i="8"/>
  <c r="E8" i="12"/>
  <c r="F14" i="12"/>
  <c r="AJ13" i="8"/>
  <c r="AR15" i="8"/>
  <c r="AT21" i="8"/>
  <c r="AT22" i="8" s="1"/>
  <c r="AT5" i="8"/>
  <c r="AU15" i="8"/>
  <c r="AT15" i="8"/>
  <c r="I13" i="12" s="1"/>
  <c r="AU5" i="8"/>
  <c r="AR5" i="8"/>
  <c r="AS6" i="8"/>
  <c r="AV15" i="8"/>
  <c r="L13" i="12" s="1"/>
  <c r="I17" i="12" l="1"/>
  <c r="AT19" i="8"/>
  <c r="I15" i="12" s="1"/>
  <c r="AT25" i="8"/>
  <c r="AR6" i="8"/>
  <c r="AT6" i="8"/>
  <c r="AU6" i="8"/>
  <c r="AV6" i="8"/>
  <c r="AT27" i="8" l="1"/>
  <c r="I21" i="12"/>
  <c r="G16" i="8"/>
  <c r="G14" i="8" l="1"/>
  <c r="Q14" i="8" s="1"/>
  <c r="E56" i="12" s="1"/>
  <c r="Q16" i="8"/>
  <c r="Q12" i="8" s="1"/>
  <c r="F16" i="8"/>
  <c r="P16" i="8" s="1"/>
  <c r="P12" i="8" s="1"/>
  <c r="D12" i="12"/>
  <c r="AT31" i="8"/>
  <c r="I24" i="12" s="1"/>
  <c r="I22" i="12"/>
  <c r="J16" i="8"/>
  <c r="T16" i="8" s="1"/>
  <c r="T12" i="8" s="1"/>
  <c r="J12" i="12"/>
  <c r="K16" i="8"/>
  <c r="U16" i="8" s="1"/>
  <c r="U12" i="8" s="1"/>
  <c r="K12" i="12"/>
  <c r="H43" i="8"/>
  <c r="I43" i="8" s="1"/>
  <c r="H44" i="8"/>
  <c r="H45" i="8"/>
  <c r="H46" i="8"/>
  <c r="H47" i="8"/>
  <c r="H48" i="8"/>
  <c r="I48" i="8" s="1"/>
  <c r="H49" i="8"/>
  <c r="H50" i="8"/>
  <c r="I50" i="8" s="1"/>
  <c r="H42" i="8"/>
  <c r="I42" i="8" s="1"/>
  <c r="E57" i="12" l="1"/>
  <c r="E82" i="12" s="1"/>
  <c r="E81" i="12"/>
  <c r="AN12" i="8"/>
  <c r="K14" i="8"/>
  <c r="U14" i="8" s="1"/>
  <c r="I56" i="12" s="1"/>
  <c r="AM12" i="8"/>
  <c r="J14" i="8"/>
  <c r="T14" i="8" s="1"/>
  <c r="H56" i="12" s="1"/>
  <c r="AK12" i="8"/>
  <c r="F14" i="8"/>
  <c r="P14" i="8" s="1"/>
  <c r="D56" i="12" s="1"/>
  <c r="I47" i="8"/>
  <c r="I49" i="8"/>
  <c r="I46" i="8"/>
  <c r="I45" i="8"/>
  <c r="AD21" i="8"/>
  <c r="AD22" i="8" s="1"/>
  <c r="I44" i="8"/>
  <c r="Y21" i="8"/>
  <c r="Y22" i="8" s="1"/>
  <c r="F9" i="8"/>
  <c r="G9" i="8"/>
  <c r="H9" i="8"/>
  <c r="I9" i="8"/>
  <c r="J9" i="8"/>
  <c r="K9" i="8"/>
  <c r="O7" i="8"/>
  <c r="R7" i="8"/>
  <c r="S7" i="8"/>
  <c r="T7" i="8"/>
  <c r="U7" i="8"/>
  <c r="Q7" i="8"/>
  <c r="F66" i="8"/>
  <c r="I6" i="8"/>
  <c r="S6" i="8" s="1"/>
  <c r="AK5" i="8"/>
  <c r="D57" i="12" l="1"/>
  <c r="D82" i="12" s="1"/>
  <c r="D81" i="12"/>
  <c r="I57" i="12"/>
  <c r="I82" i="12" s="1"/>
  <c r="I81" i="12"/>
  <c r="H57" i="12"/>
  <c r="H82" i="12" s="1"/>
  <c r="H81" i="12"/>
  <c r="I73" i="8"/>
  <c r="K73" i="8"/>
  <c r="I69" i="8"/>
  <c r="I72" i="8"/>
  <c r="H69" i="8"/>
  <c r="H72" i="8"/>
  <c r="H73" i="8" s="1"/>
  <c r="J69" i="8"/>
  <c r="J72" i="8"/>
  <c r="J73" i="8" s="1"/>
  <c r="F69" i="8"/>
  <c r="F72" i="8"/>
  <c r="F73" i="8" s="1"/>
  <c r="G69" i="8"/>
  <c r="G72" i="8"/>
  <c r="G73" i="8" s="1"/>
  <c r="K69" i="8"/>
  <c r="K72" i="8"/>
  <c r="H62" i="8"/>
  <c r="R9" i="8"/>
  <c r="F46" i="12" s="1"/>
  <c r="F71" i="12" s="1"/>
  <c r="G62" i="8"/>
  <c r="Q9" i="8"/>
  <c r="E46" i="12" s="1"/>
  <c r="E71" i="12" s="1"/>
  <c r="F62" i="8"/>
  <c r="P9" i="8"/>
  <c r="D46" i="12" s="1"/>
  <c r="D71" i="12" s="1"/>
  <c r="K62" i="8"/>
  <c r="U9" i="8"/>
  <c r="I46" i="12" s="1"/>
  <c r="I71" i="12" s="1"/>
  <c r="J62" i="8"/>
  <c r="T9" i="8"/>
  <c r="H46" i="12" s="1"/>
  <c r="H71" i="12" s="1"/>
  <c r="H11" i="12"/>
  <c r="I62" i="8"/>
  <c r="S9" i="8"/>
  <c r="G46" i="12" s="1"/>
  <c r="G71" i="12" s="1"/>
  <c r="P7" i="8"/>
  <c r="D41" i="12" s="1"/>
  <c r="D66" i="12" s="1"/>
  <c r="AA21" i="8"/>
  <c r="AA22" i="8" s="1"/>
  <c r="AA25" i="8" s="1"/>
  <c r="AA27" i="8" s="1"/>
  <c r="AA31" i="8" s="1"/>
  <c r="AB21" i="8"/>
  <c r="AB22" i="8" s="1"/>
  <c r="AB25" i="8" s="1"/>
  <c r="AB27" i="8" s="1"/>
  <c r="AB31" i="8" s="1"/>
  <c r="Z21" i="8"/>
  <c r="Z22" i="8" s="1"/>
  <c r="Z25" i="8" s="1"/>
  <c r="Z27" i="8" s="1"/>
  <c r="Z31" i="8" s="1"/>
  <c r="AE21" i="8"/>
  <c r="AE22" i="8" s="1"/>
  <c r="AE25" i="8" s="1"/>
  <c r="AE27" i="8" s="1"/>
  <c r="AE31" i="8" s="1"/>
  <c r="AD19" i="8"/>
  <c r="AD25" i="8"/>
  <c r="AD27" i="8" s="1"/>
  <c r="AD31" i="8" s="1"/>
  <c r="Y19" i="8"/>
  <c r="Y25" i="8"/>
  <c r="Y27" i="8" s="1"/>
  <c r="Y31" i="8" s="1"/>
  <c r="AC21" i="8"/>
  <c r="AC22" i="8" s="1"/>
  <c r="AC25" i="8" s="1"/>
  <c r="AC27" i="8" s="1"/>
  <c r="AC31" i="8" s="1"/>
  <c r="AK7" i="8"/>
  <c r="D6" i="12"/>
  <c r="K10" i="8"/>
  <c r="U10" i="8" s="1"/>
  <c r="K11" i="12"/>
  <c r="M34" i="12" s="1"/>
  <c r="AN9" i="8"/>
  <c r="J10" i="8"/>
  <c r="T10" i="8" s="1"/>
  <c r="AM9" i="8"/>
  <c r="J11" i="12"/>
  <c r="H10" i="8"/>
  <c r="R10" i="8" s="1"/>
  <c r="G11" i="12"/>
  <c r="AL9" i="8"/>
  <c r="G10" i="8"/>
  <c r="Q10" i="8" s="1"/>
  <c r="F11" i="12"/>
  <c r="F10" i="8"/>
  <c r="P10" i="8" s="1"/>
  <c r="D11" i="12"/>
  <c r="AK9" i="8"/>
  <c r="I10" i="8"/>
  <c r="S10" i="8" s="1"/>
  <c r="G6" i="8"/>
  <c r="Q6" i="8" s="1"/>
  <c r="G47" i="12" l="1"/>
  <c r="G72" i="12" s="1"/>
  <c r="S11" i="8"/>
  <c r="T11" i="8"/>
  <c r="H47" i="12"/>
  <c r="H72" i="12" s="1"/>
  <c r="D47" i="12"/>
  <c r="D72" i="12" s="1"/>
  <c r="P11" i="8"/>
  <c r="F47" i="12"/>
  <c r="F72" i="12" s="1"/>
  <c r="R11" i="8"/>
  <c r="E47" i="12"/>
  <c r="E72" i="12" s="1"/>
  <c r="Q11" i="8"/>
  <c r="I47" i="12"/>
  <c r="I72" i="12" s="1"/>
  <c r="U11" i="8"/>
  <c r="H63" i="8"/>
  <c r="H70" i="8" s="1"/>
  <c r="G63" i="8"/>
  <c r="G70" i="8" s="1"/>
  <c r="I63" i="8"/>
  <c r="I70" i="8" s="1"/>
  <c r="F63" i="8"/>
  <c r="F70" i="8" s="1"/>
  <c r="K63" i="8"/>
  <c r="K70" i="8" s="1"/>
  <c r="J63" i="8"/>
  <c r="J70" i="8" s="1"/>
  <c r="AE32" i="8"/>
  <c r="AC32" i="8"/>
  <c r="AA32" i="8"/>
  <c r="AE19" i="8"/>
  <c r="AB19" i="8"/>
  <c r="AA19" i="8"/>
  <c r="Z19" i="8"/>
  <c r="AC19" i="8"/>
  <c r="E9" i="8"/>
  <c r="E69" i="8" l="1"/>
  <c r="E72" i="8"/>
  <c r="E73" i="8" s="1"/>
  <c r="E62" i="8"/>
  <c r="E63" i="8" s="1"/>
  <c r="E70" i="8" s="1"/>
  <c r="O9" i="8"/>
  <c r="C46" i="12" s="1"/>
  <c r="C71" i="12" s="1"/>
  <c r="H16" i="8"/>
  <c r="R16" i="8" s="1"/>
  <c r="R12" i="8" s="1"/>
  <c r="G12" i="12"/>
  <c r="AL12" i="8" l="1"/>
  <c r="H14" i="8"/>
  <c r="R14" i="8" s="1"/>
  <c r="F56" i="12" s="1"/>
  <c r="F6" i="8"/>
  <c r="F57" i="12" l="1"/>
  <c r="F82" i="12" s="1"/>
  <c r="F81" i="12"/>
  <c r="AK6" i="8"/>
  <c r="P6" i="8"/>
  <c r="AJ2" i="8"/>
  <c r="E68" i="12" l="1"/>
  <c r="E43" i="12"/>
  <c r="AL2" i="8"/>
  <c r="AK2" i="8"/>
  <c r="AN2" i="8" l="1"/>
  <c r="C12" i="12" l="1"/>
  <c r="C11" i="12" l="1"/>
  <c r="D8" i="12" l="1"/>
  <c r="D7" i="12"/>
  <c r="M35" i="12" s="1"/>
  <c r="E6" i="8"/>
  <c r="O6" i="8" s="1"/>
  <c r="H6" i="8"/>
  <c r="R6" i="8" s="1"/>
  <c r="K6" i="8"/>
  <c r="U6" i="8" s="1"/>
  <c r="J6" i="8" l="1"/>
  <c r="T6" i="8" s="1"/>
  <c r="G15" i="8" l="1"/>
  <c r="F13" i="12" s="1"/>
  <c r="F20" i="12"/>
  <c r="I15" i="8"/>
  <c r="H13" i="12" s="1"/>
  <c r="H20" i="12"/>
  <c r="AL14" i="8"/>
  <c r="AJ14" i="8"/>
  <c r="I20" i="8" l="1"/>
  <c r="S20" i="8" s="1"/>
  <c r="G52" i="12" s="1"/>
  <c r="G77" i="12" s="1"/>
  <c r="S15" i="8"/>
  <c r="G49" i="12" s="1"/>
  <c r="G74" i="12" s="1"/>
  <c r="G20" i="8"/>
  <c r="Q20" i="8" s="1"/>
  <c r="E52" i="12" s="1"/>
  <c r="E77" i="12" s="1"/>
  <c r="Q15" i="8"/>
  <c r="E49" i="12" s="1"/>
  <c r="E74" i="12" s="1"/>
  <c r="J15" i="8"/>
  <c r="J13" i="12" s="1"/>
  <c r="AM14" i="8"/>
  <c r="K15" i="8"/>
  <c r="K13" i="12" s="1"/>
  <c r="AN14" i="8"/>
  <c r="K20" i="12"/>
  <c r="D20" i="12"/>
  <c r="AK14" i="8"/>
  <c r="H15" i="8"/>
  <c r="F15" i="8"/>
  <c r="E15" i="8"/>
  <c r="G20" i="12"/>
  <c r="J20" i="12"/>
  <c r="AJ9" i="8"/>
  <c r="E10" i="8"/>
  <c r="O10" i="8" s="1"/>
  <c r="O11" i="8" l="1"/>
  <c r="C47" i="12"/>
  <c r="C72" i="12" s="1"/>
  <c r="O15" i="8"/>
  <c r="C49" i="12" s="1"/>
  <c r="C74" i="12" s="1"/>
  <c r="C13" i="12"/>
  <c r="P15" i="8"/>
  <c r="D49" i="12" s="1"/>
  <c r="D74" i="12" s="1"/>
  <c r="D13" i="12"/>
  <c r="R15" i="8"/>
  <c r="F49" i="12" s="1"/>
  <c r="F74" i="12" s="1"/>
  <c r="G13" i="12"/>
  <c r="J20" i="8"/>
  <c r="T20" i="8" s="1"/>
  <c r="H52" i="12" s="1"/>
  <c r="H77" i="12" s="1"/>
  <c r="T15" i="8"/>
  <c r="H49" i="12" s="1"/>
  <c r="H74" i="12" s="1"/>
  <c r="K20" i="8"/>
  <c r="U20" i="8" s="1"/>
  <c r="I52" i="12" s="1"/>
  <c r="I77" i="12" s="1"/>
  <c r="U15" i="8"/>
  <c r="I49" i="12" s="1"/>
  <c r="I74" i="12" s="1"/>
  <c r="H16" i="12"/>
  <c r="I21" i="8"/>
  <c r="G21" i="8"/>
  <c r="F16" i="12"/>
  <c r="E20" i="8"/>
  <c r="AJ15" i="8"/>
  <c r="H20" i="8"/>
  <c r="R20" i="8" s="1"/>
  <c r="F52" i="12" s="1"/>
  <c r="F77" i="12" s="1"/>
  <c r="AL15" i="8"/>
  <c r="AN15" i="8"/>
  <c r="AM15" i="8"/>
  <c r="F20" i="8"/>
  <c r="P20" i="8" s="1"/>
  <c r="D52" i="12" s="1"/>
  <c r="D77" i="12" s="1"/>
  <c r="AK15" i="8"/>
  <c r="S21" i="8" l="1"/>
  <c r="AN20" i="8"/>
  <c r="K16" i="12"/>
  <c r="K21" i="8"/>
  <c r="J16" i="12"/>
  <c r="AM20" i="8"/>
  <c r="J21" i="8"/>
  <c r="T21" i="8" s="1"/>
  <c r="G22" i="8"/>
  <c r="G64" i="8" s="1"/>
  <c r="Q21" i="8"/>
  <c r="E21" i="8"/>
  <c r="O21" i="8" s="1"/>
  <c r="O20" i="8"/>
  <c r="C52" i="12" s="1"/>
  <c r="C77" i="12" s="1"/>
  <c r="C16" i="12"/>
  <c r="AJ20" i="8"/>
  <c r="H21" i="8"/>
  <c r="R21" i="8" s="1"/>
  <c r="G16" i="12"/>
  <c r="AL20" i="8"/>
  <c r="F21" i="8"/>
  <c r="P21" i="8" s="1"/>
  <c r="D16" i="12"/>
  <c r="AK20" i="8"/>
  <c r="U21" i="8" l="1"/>
  <c r="J22" i="8"/>
  <c r="E22" i="8"/>
  <c r="G19" i="8"/>
  <c r="Q22" i="8"/>
  <c r="F17" i="12"/>
  <c r="G25" i="8"/>
  <c r="G67" i="8" s="1"/>
  <c r="H22" i="8"/>
  <c r="AL21" i="8"/>
  <c r="G14" i="12"/>
  <c r="J14" i="12"/>
  <c r="E53" i="12" l="1"/>
  <c r="E78" i="12" s="1"/>
  <c r="Q23" i="8"/>
  <c r="R22" i="8"/>
  <c r="H64" i="8"/>
  <c r="E19" i="8"/>
  <c r="O19" i="8" s="1"/>
  <c r="C51" i="12" s="1"/>
  <c r="C76" i="12" s="1"/>
  <c r="E64" i="8"/>
  <c r="J25" i="8"/>
  <c r="J64" i="8"/>
  <c r="J19" i="8"/>
  <c r="T19" i="8" s="1"/>
  <c r="H51" i="12" s="1"/>
  <c r="H76" i="12" s="1"/>
  <c r="C17" i="12"/>
  <c r="O22" i="8"/>
  <c r="E25" i="8"/>
  <c r="J17" i="12"/>
  <c r="T22" i="8"/>
  <c r="F21" i="12"/>
  <c r="Q25" i="8"/>
  <c r="G27" i="8"/>
  <c r="G60" i="8" s="1"/>
  <c r="Q19" i="8"/>
  <c r="E51" i="12" s="1"/>
  <c r="E76" i="12" s="1"/>
  <c r="F15" i="12"/>
  <c r="H25" i="8"/>
  <c r="AL22" i="8"/>
  <c r="G17" i="12"/>
  <c r="H19" i="8"/>
  <c r="R19" i="8" s="1"/>
  <c r="F51" i="12" s="1"/>
  <c r="F76" i="12" s="1"/>
  <c r="C14" i="12"/>
  <c r="AV10" i="8"/>
  <c r="AU10" i="8"/>
  <c r="AS10" i="8"/>
  <c r="AR10" i="8"/>
  <c r="F18" i="8" l="1"/>
  <c r="F53" i="12"/>
  <c r="F78" i="12" s="1"/>
  <c r="R23" i="8"/>
  <c r="E58" i="12"/>
  <c r="E83" i="12" s="1"/>
  <c r="Q26" i="8"/>
  <c r="C53" i="12"/>
  <c r="C78" i="12" s="1"/>
  <c r="O23" i="8"/>
  <c r="T25" i="8"/>
  <c r="J67" i="8"/>
  <c r="R25" i="8"/>
  <c r="H67" i="8"/>
  <c r="O25" i="8"/>
  <c r="E67" i="8"/>
  <c r="H53" i="12"/>
  <c r="H78" i="12" s="1"/>
  <c r="T23" i="8"/>
  <c r="C15" i="12"/>
  <c r="J27" i="8"/>
  <c r="J60" i="8" s="1"/>
  <c r="J15" i="12"/>
  <c r="E27" i="8"/>
  <c r="E60" i="8" s="1"/>
  <c r="G31" i="8"/>
  <c r="Q27" i="8"/>
  <c r="E59" i="12" s="1"/>
  <c r="E84" i="12" s="1"/>
  <c r="F22" i="12"/>
  <c r="F28" i="12" s="1"/>
  <c r="G15" i="12"/>
  <c r="AL19" i="8"/>
  <c r="AL25" i="8"/>
  <c r="H27" i="8"/>
  <c r="H60" i="8" s="1"/>
  <c r="AR21" i="8"/>
  <c r="AS21" i="8"/>
  <c r="AU21" i="8"/>
  <c r="AV21" i="8"/>
  <c r="AN21" i="8" s="1"/>
  <c r="AK3" i="8"/>
  <c r="F22" i="8" l="1"/>
  <c r="F64" i="8" s="1"/>
  <c r="P18" i="8"/>
  <c r="D50" i="12" s="1"/>
  <c r="D75" i="12" s="1"/>
  <c r="D14" i="12"/>
  <c r="AK18" i="8"/>
  <c r="H37" i="16"/>
  <c r="F25" i="16"/>
  <c r="J31" i="8"/>
  <c r="T31" i="8" s="1"/>
  <c r="T27" i="8"/>
  <c r="Q28" i="8"/>
  <c r="H58" i="12"/>
  <c r="H83" i="12" s="1"/>
  <c r="T26" i="8"/>
  <c r="F58" i="12"/>
  <c r="F83" i="12" s="1"/>
  <c r="R26" i="8"/>
  <c r="C58" i="12"/>
  <c r="C83" i="12" s="1"/>
  <c r="O26" i="8"/>
  <c r="R27" i="8"/>
  <c r="F59" i="12" s="1"/>
  <c r="F84" i="12" s="1"/>
  <c r="O27" i="8"/>
  <c r="Q31" i="8"/>
  <c r="H37" i="14"/>
  <c r="F25" i="14"/>
  <c r="AV22" i="8"/>
  <c r="AV19" i="8" s="1"/>
  <c r="L15" i="12" s="1"/>
  <c r="AS22" i="8"/>
  <c r="AS19" i="8" s="1"/>
  <c r="E15" i="12" s="1"/>
  <c r="AK21" i="8"/>
  <c r="AR22" i="8"/>
  <c r="AJ21" i="8"/>
  <c r="AU22" i="8"/>
  <c r="AM21" i="8"/>
  <c r="AL27" i="8"/>
  <c r="H31" i="8"/>
  <c r="R31" i="8" s="1"/>
  <c r="J21" i="12"/>
  <c r="L14" i="12"/>
  <c r="L20" i="12"/>
  <c r="E14" i="12"/>
  <c r="E20" i="12"/>
  <c r="AJ22" i="8" l="1"/>
  <c r="AR19" i="8"/>
  <c r="AJ19" i="8" s="1"/>
  <c r="AM22" i="8"/>
  <c r="AU19" i="8"/>
  <c r="AM19" i="8" s="1"/>
  <c r="F19" i="8"/>
  <c r="P19" i="8" s="1"/>
  <c r="D51" i="12" s="1"/>
  <c r="D76" i="12" s="1"/>
  <c r="F25" i="8"/>
  <c r="F67" i="8" s="1"/>
  <c r="D17" i="12"/>
  <c r="P22" i="8"/>
  <c r="D53" i="12" s="1"/>
  <c r="D78" i="12" s="1"/>
  <c r="T28" i="8"/>
  <c r="H59" i="12"/>
  <c r="H84" i="12" s="1"/>
  <c r="C59" i="12"/>
  <c r="C84" i="12" s="1"/>
  <c r="O28" i="8"/>
  <c r="R28" i="8"/>
  <c r="AR25" i="8"/>
  <c r="AR27" i="8" s="1"/>
  <c r="AU25" i="8"/>
  <c r="AM25" i="8" s="1"/>
  <c r="AS25" i="8"/>
  <c r="E17" i="12"/>
  <c r="AK22" i="8"/>
  <c r="AV25" i="8"/>
  <c r="L17" i="12"/>
  <c r="AL31" i="8"/>
  <c r="G25" i="12" s="1"/>
  <c r="H32" i="8"/>
  <c r="J22" i="12"/>
  <c r="J28" i="12" s="1"/>
  <c r="C21" i="12"/>
  <c r="AK19" i="8" l="1"/>
  <c r="P25" i="8"/>
  <c r="D15" i="12"/>
  <c r="D21" i="12"/>
  <c r="P23" i="8"/>
  <c r="D58" i="12"/>
  <c r="D83" i="12" s="1"/>
  <c r="P26" i="8"/>
  <c r="AU27" i="8"/>
  <c r="AM27" i="8" s="1"/>
  <c r="AJ25" i="8"/>
  <c r="AS27" i="8"/>
  <c r="E21" i="12"/>
  <c r="AK25" i="8"/>
  <c r="AR31" i="8"/>
  <c r="AJ27" i="8"/>
  <c r="AV27" i="8"/>
  <c r="L21" i="12"/>
  <c r="AU31" i="8" l="1"/>
  <c r="AM31" i="8"/>
  <c r="J25" i="12" s="1"/>
  <c r="AV31" i="8"/>
  <c r="AT28" i="8"/>
  <c r="AT32" i="8" s="1"/>
  <c r="AL32" i="8" s="1"/>
  <c r="L22" i="12"/>
  <c r="AS31" i="8"/>
  <c r="E22" i="12"/>
  <c r="AV32" i="8" l="1"/>
  <c r="L24" i="12"/>
  <c r="E24" i="12"/>
  <c r="G21" i="12" l="1"/>
  <c r="F27" i="8" l="1"/>
  <c r="F60" i="8" s="1"/>
  <c r="G22" i="12"/>
  <c r="G28" i="12" s="1"/>
  <c r="P27" i="8" l="1"/>
  <c r="F31" i="8"/>
  <c r="AK27" i="8"/>
  <c r="AL28" i="8" s="1"/>
  <c r="D22" i="12"/>
  <c r="D28" i="12" s="1"/>
  <c r="C20" i="12"/>
  <c r="P31" i="8" l="1"/>
  <c r="F37" i="16"/>
  <c r="D59" i="12"/>
  <c r="D84" i="12" s="1"/>
  <c r="P28" i="8"/>
  <c r="G32" i="8"/>
  <c r="G26" i="12"/>
  <c r="F26" i="12"/>
  <c r="D26" i="12"/>
  <c r="J26" i="12"/>
  <c r="AK31" i="8"/>
  <c r="D25" i="12" s="1"/>
  <c r="F37" i="14"/>
  <c r="C22" i="12"/>
  <c r="C28" i="12" s="1"/>
  <c r="D136" i="16" l="1"/>
  <c r="E25" i="16"/>
  <c r="F136" i="16" s="1"/>
  <c r="G37" i="16"/>
  <c r="Q32" i="8"/>
  <c r="E60" i="12" s="1"/>
  <c r="E85" i="12" s="1"/>
  <c r="C26" i="12"/>
  <c r="E25" i="14"/>
  <c r="F136" i="14" s="1"/>
  <c r="D136" i="14"/>
  <c r="G37" i="14"/>
  <c r="E31" i="8"/>
  <c r="AJ31" i="8" l="1"/>
  <c r="C25" i="12" s="1"/>
  <c r="O31" i="8"/>
  <c r="H73" i="14" l="1"/>
  <c r="G15" i="14" s="1"/>
  <c r="K104" i="14" l="1"/>
  <c r="C99" i="14"/>
  <c r="I18" i="8"/>
  <c r="S18" i="8" s="1"/>
  <c r="G50" i="12" s="1"/>
  <c r="G75" i="12" s="1"/>
  <c r="K18" i="8"/>
  <c r="AN18" i="8" s="1"/>
  <c r="K22" i="8" l="1"/>
  <c r="K25" i="8" s="1"/>
  <c r="AN25" i="8" s="1"/>
  <c r="H14" i="12"/>
  <c r="K14" i="12"/>
  <c r="U18" i="8"/>
  <c r="I50" i="12" s="1"/>
  <c r="I75" i="12" s="1"/>
  <c r="I22" i="8"/>
  <c r="K17" i="12" l="1"/>
  <c r="K67" i="8"/>
  <c r="U22" i="8"/>
  <c r="U25" i="8"/>
  <c r="U26" i="8" s="1"/>
  <c r="K27" i="8"/>
  <c r="K31" i="8" s="1"/>
  <c r="K64" i="8"/>
  <c r="K21" i="12"/>
  <c r="K19" i="8"/>
  <c r="K15" i="12" s="1"/>
  <c r="AN22" i="8"/>
  <c r="I64" i="8"/>
  <c r="I19" i="8"/>
  <c r="H17" i="12"/>
  <c r="S22" i="8"/>
  <c r="I25" i="8"/>
  <c r="I53" i="12"/>
  <c r="I78" i="12" s="1"/>
  <c r="U23" i="8"/>
  <c r="AN27" i="8" l="1"/>
  <c r="K60" i="8"/>
  <c r="U19" i="8"/>
  <c r="I51" i="12" s="1"/>
  <c r="I76" i="12" s="1"/>
  <c r="I58" i="12"/>
  <c r="I83" i="12" s="1"/>
  <c r="U27" i="8"/>
  <c r="U28" i="8" s="1"/>
  <c r="AN19" i="8"/>
  <c r="K22" i="12"/>
  <c r="G53" i="12"/>
  <c r="G78" i="12" s="1"/>
  <c r="S23" i="8"/>
  <c r="F82" i="14"/>
  <c r="K111" i="14"/>
  <c r="U31" i="8"/>
  <c r="K111" i="16"/>
  <c r="AN31" i="8"/>
  <c r="K25" i="12" s="1"/>
  <c r="G25" i="16"/>
  <c r="C106" i="14"/>
  <c r="K32" i="8"/>
  <c r="F82" i="16"/>
  <c r="C107" i="16"/>
  <c r="G25" i="14"/>
  <c r="S25" i="8"/>
  <c r="H21" i="12"/>
  <c r="I67" i="8"/>
  <c r="I27" i="8"/>
  <c r="H15" i="12"/>
  <c r="S19" i="8"/>
  <c r="G51" i="12" s="1"/>
  <c r="G76" i="12" s="1"/>
  <c r="K28" i="12" l="1"/>
  <c r="I59" i="12"/>
  <c r="I84" i="12" s="1"/>
  <c r="K26" i="12"/>
  <c r="J34" i="12"/>
  <c r="J35" i="12" s="1"/>
  <c r="C35" i="12"/>
  <c r="AN32" i="8"/>
  <c r="U32" i="8"/>
  <c r="I60" i="12" s="1"/>
  <c r="I85" i="12" s="1"/>
  <c r="I60" i="8"/>
  <c r="S27" i="8"/>
  <c r="H22" i="12"/>
  <c r="H28" i="12" s="1"/>
  <c r="I31" i="8"/>
  <c r="G58" i="12"/>
  <c r="G83" i="12" s="1"/>
  <c r="S26" i="8"/>
  <c r="S31" i="8" l="1"/>
  <c r="H25" i="12"/>
  <c r="I32" i="8"/>
  <c r="S32" i="8" s="1"/>
  <c r="G60" i="12" s="1"/>
  <c r="G85" i="12" s="1"/>
  <c r="H26" i="12"/>
  <c r="G34" i="12"/>
  <c r="G35" i="12" s="1"/>
  <c r="S28" i="8"/>
  <c r="G59" i="12"/>
  <c r="G84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7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E8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E11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FttC
</t>
        </r>
      </text>
    </comment>
    <comment ref="F11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FttH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 xr:uid="{00000000-0006-0000-0300-000005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E18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E20" authorId="0" shapeId="0" xr:uid="{00000000-0006-0000-0300-000007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D21" authorId="0" shapeId="0" xr:uid="{00000000-0006-0000-0300-000008000000}">
      <text>
        <r>
          <rPr>
            <sz val="9"/>
            <color indexed="81"/>
            <rFont val="Tahoma"/>
            <family val="2"/>
          </rPr>
          <t>Proposal notified to the EC on June 5th.
Current WACC = 7,5% set on 01/01/2014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H29" authorId="0" shapeId="0" xr:uid="{00000000-0006-0000-0300-00000A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F33" authorId="0" shapeId="0" xr:uid="{00000000-0006-0000-0300-00000B000000}">
      <text>
        <r>
          <rPr>
            <sz val="9"/>
            <color indexed="81"/>
            <rFont val="Tahoma"/>
            <family val="2"/>
          </rPr>
          <t>Proposal notified to the EC on June 5th.
Current WACC = 7,5% set on 01/01/2014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3" authorId="0" shapeId="0" xr:uid="{00000000-0006-0000-0300-00000C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H34" authorId="0" shapeId="0" xr:uid="{00000000-0006-0000-0300-00000D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H38" authorId="0" shapeId="0" xr:uid="{00000000-0006-0000-0300-00000E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H42" authorId="0" shapeId="0" xr:uid="{00000000-0006-0000-0300-00000F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H43" authorId="0" shapeId="0" xr:uid="{00000000-0006-0000-0300-000010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F90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Assuming a corporate tax rate of 17% 8,2% - 9,9% assuming a corporate tax rate of 19% (Real pre-tax, CPI deflation: 7,0%)
</t>
        </r>
      </text>
    </comment>
    <comment ref="F91" authorId="0" shapeId="0" xr:uid="{00000000-0006-0000-0300-000012000000}">
      <text>
        <r>
          <rPr>
            <sz val="9"/>
            <color indexed="81"/>
            <rFont val="Tahoma"/>
            <family val="2"/>
          </rPr>
          <t>But, in case of regulation, the same % as fixed and LLU would be used.</t>
        </r>
      </text>
    </comment>
    <comment ref="E120" authorId="0" shapeId="0" xr:uid="{00000000-0006-0000-0300-000013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E121" authorId="0" shapeId="0" xr:uid="{00000000-0006-0000-0300-000014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E124" authorId="0" shapeId="0" xr:uid="{00000000-0006-0000-0300-000015000000}">
      <text>
        <r>
          <rPr>
            <sz val="9"/>
            <color indexed="81"/>
            <rFont val="Tahoma"/>
            <family val="2"/>
          </rPr>
          <t xml:space="preserve">FttC
</t>
        </r>
      </text>
    </comment>
    <comment ref="F124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FttH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8" authorId="0" shapeId="0" xr:uid="{00000000-0006-0000-0300-000017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E130" authorId="0" shapeId="0" xr:uid="{00000000-0006-0000-0300-000018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E132" authorId="0" shapeId="0" xr:uid="{00000000-0006-0000-0300-000019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C133" authorId="0" shapeId="0" xr:uid="{00000000-0006-0000-0300-00001A000000}">
      <text>
        <r>
          <rPr>
            <sz val="9"/>
            <color indexed="81"/>
            <rFont val="Tahoma"/>
            <family val="2"/>
          </rPr>
          <t>Proposal notified to the EC on June 5th.
Current WACC = 7,5% set on 01/01/2014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3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7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E8" authorId="0" shapeId="0" xr:uid="{00000000-0006-0000-0500-000002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E11" authorId="0" shapeId="0" xr:uid="{00000000-0006-0000-0500-000003000000}">
      <text>
        <r>
          <rPr>
            <sz val="9"/>
            <color indexed="81"/>
            <rFont val="Tahoma"/>
            <family val="2"/>
          </rPr>
          <t xml:space="preserve">FttC
</t>
        </r>
      </text>
    </comment>
    <comment ref="F11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FttH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 xr:uid="{00000000-0006-0000-0500-000005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E18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E20" authorId="0" shapeId="0" xr:uid="{00000000-0006-0000-0500-000007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D21" authorId="0" shapeId="0" xr:uid="{00000000-0006-0000-0500-000008000000}">
      <text>
        <r>
          <rPr>
            <sz val="9"/>
            <color indexed="81"/>
            <rFont val="Tahoma"/>
            <family val="2"/>
          </rPr>
          <t>Proposal notified to the EC on June 5th.
Current WACC = 7,5% set on 01/01/2014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H29" authorId="0" shapeId="0" xr:uid="{00000000-0006-0000-0500-00000A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F33" authorId="0" shapeId="0" xr:uid="{00000000-0006-0000-0500-00000B000000}">
      <text>
        <r>
          <rPr>
            <sz val="9"/>
            <color indexed="81"/>
            <rFont val="Tahoma"/>
            <family val="2"/>
          </rPr>
          <t>Proposal notified to the EC on June 5th.
Current WACC = 7,5% set on 01/01/2014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3" authorId="0" shapeId="0" xr:uid="{00000000-0006-0000-0500-00000C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H34" authorId="0" shapeId="0" xr:uid="{00000000-0006-0000-0500-00000D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H38" authorId="0" shapeId="0" xr:uid="{00000000-0006-0000-0500-00000E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H42" authorId="0" shapeId="0" xr:uid="{00000000-0006-0000-0500-00000F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H43" authorId="0" shapeId="0" xr:uid="{00000000-0006-0000-0500-000010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F90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Assuming a corporate tax rate of 17% 8,2% - 9,9% assuming a corporate tax rate of 19% (Real pre-tax, CPI deflation: 7,0%)
</t>
        </r>
      </text>
    </comment>
    <comment ref="F91" authorId="0" shapeId="0" xr:uid="{00000000-0006-0000-0500-000012000000}">
      <text>
        <r>
          <rPr>
            <sz val="9"/>
            <color indexed="81"/>
            <rFont val="Tahoma"/>
            <family val="2"/>
          </rPr>
          <t>But, in case of regulation, the same % as fixed and LLU would be used.</t>
        </r>
      </text>
    </comment>
    <comment ref="E120" authorId="0" shapeId="0" xr:uid="{00000000-0006-0000-0500-000013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E121" authorId="0" shapeId="0" xr:uid="{00000000-0006-0000-0500-000014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E124" authorId="0" shapeId="0" xr:uid="{00000000-0006-0000-0500-000015000000}">
      <text>
        <r>
          <rPr>
            <sz val="9"/>
            <color indexed="81"/>
            <rFont val="Tahoma"/>
            <family val="2"/>
          </rPr>
          <t xml:space="preserve">FttC
</t>
        </r>
      </text>
    </comment>
    <comment ref="F124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FttH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7" authorId="0" shapeId="0" xr:uid="{00000000-0006-0000-0500-000017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E129" authorId="0" shapeId="0" xr:uid="{00000000-0006-0000-0500-000018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E130" authorId="0" shapeId="0" xr:uid="{00000000-0006-0000-0500-000019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  <comment ref="C131" authorId="0" shapeId="0" xr:uid="{00000000-0006-0000-0500-00001A000000}">
      <text>
        <r>
          <rPr>
            <sz val="9"/>
            <color indexed="81"/>
            <rFont val="Tahoma"/>
            <family val="2"/>
          </rPr>
          <t>Proposal notified to the EC on June 5th.
Current WACC = 7,5% set on 01/01/2014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1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Not regulated
</t>
        </r>
      </text>
    </comment>
  </commentList>
</comments>
</file>

<file path=xl/sharedStrings.xml><?xml version="1.0" encoding="utf-8"?>
<sst xmlns="http://schemas.openxmlformats.org/spreadsheetml/2006/main" count="1066" uniqueCount="355">
  <si>
    <t>Rf</t>
  </si>
  <si>
    <t>Proximus</t>
  </si>
  <si>
    <t>Mobistar</t>
  </si>
  <si>
    <t>Belgacom</t>
  </si>
  <si>
    <t>Beta économique</t>
  </si>
  <si>
    <t>Taux sans risque</t>
  </si>
  <si>
    <t>Prime de marché</t>
  </si>
  <si>
    <t xml:space="preserve">Taux d'imposition </t>
  </si>
  <si>
    <t>t</t>
  </si>
  <si>
    <t>βa</t>
  </si>
  <si>
    <t>Beta fonds propres</t>
  </si>
  <si>
    <t>Coût des fonds propres</t>
  </si>
  <si>
    <t>Prime de dette</t>
  </si>
  <si>
    <t>d</t>
  </si>
  <si>
    <t>Coût de la dette</t>
  </si>
  <si>
    <t>Mobile</t>
  </si>
  <si>
    <t>Delta WACC notionnel</t>
  </si>
  <si>
    <t xml:space="preserve">Taux d'intérêt notionnel </t>
  </si>
  <si>
    <t>France</t>
  </si>
  <si>
    <t>Ireland</t>
  </si>
  <si>
    <t>Portugal</t>
  </si>
  <si>
    <t>MOBILE</t>
  </si>
  <si>
    <t>ERP</t>
  </si>
  <si>
    <t>Prime de risque Belgique</t>
  </si>
  <si>
    <t>CRP</t>
  </si>
  <si>
    <t>Telenet</t>
  </si>
  <si>
    <t>Notation crédit</t>
  </si>
  <si>
    <t>A</t>
  </si>
  <si>
    <t>BBB</t>
  </si>
  <si>
    <t>BBB+</t>
  </si>
  <si>
    <t>A-</t>
  </si>
  <si>
    <t>Coûts d'émission</t>
  </si>
  <si>
    <t>f</t>
  </si>
  <si>
    <t>Hamada</t>
  </si>
  <si>
    <t>βe</t>
  </si>
  <si>
    <t>BB+</t>
  </si>
  <si>
    <t>B</t>
  </si>
  <si>
    <t>Maturity</t>
  </si>
  <si>
    <t>10Y</t>
  </si>
  <si>
    <t>Credit Rating</t>
  </si>
  <si>
    <t>FIXED</t>
  </si>
  <si>
    <t>BBB-</t>
  </si>
  <si>
    <t>g</t>
  </si>
  <si>
    <t>No</t>
  </si>
  <si>
    <t>Location-exploitation</t>
  </si>
  <si>
    <t>Lambda</t>
  </si>
  <si>
    <t xml:space="preserve">Rating </t>
  </si>
  <si>
    <t>Austria</t>
  </si>
  <si>
    <t>Date</t>
  </si>
  <si>
    <t>NGA</t>
  </si>
  <si>
    <t>Germany</t>
  </si>
  <si>
    <t>Netherlands</t>
  </si>
  <si>
    <t>UK</t>
  </si>
  <si>
    <t>Fixed</t>
  </si>
  <si>
    <r>
      <t xml:space="preserve">WACC </t>
    </r>
    <r>
      <rPr>
        <sz val="10"/>
        <rFont val="Arial"/>
        <family val="2"/>
      </rPr>
      <t>= (1-g)/(1-t).Ce+g.Cd</t>
    </r>
  </si>
  <si>
    <t>g = D/(D+E)</t>
  </si>
  <si>
    <r>
      <t>WACC*</t>
    </r>
    <r>
      <rPr>
        <sz val="10"/>
        <rFont val="Arial"/>
        <family val="2"/>
      </rPr>
      <t xml:space="preserve"> = WACC - Δnot</t>
    </r>
  </si>
  <si>
    <t>D/E = g/(1-g)</t>
  </si>
  <si>
    <t>Rating</t>
  </si>
  <si>
    <t>Cd</t>
  </si>
  <si>
    <t>WACC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</si>
  <si>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not</t>
    </r>
  </si>
  <si>
    <t>WACC*</t>
  </si>
  <si>
    <t>Taux d’imposition</t>
  </si>
  <si>
    <t>Coût du capital propre</t>
  </si>
  <si>
    <t xml:space="preserve">Coût de la dette </t>
  </si>
  <si>
    <t>Ce</t>
  </si>
  <si>
    <t xml:space="preserve">WACC avant impôt </t>
  </si>
  <si>
    <t>Beta de la dette</t>
  </si>
  <si>
    <t>βd</t>
  </si>
  <si>
    <t>Levier financier</t>
  </si>
  <si>
    <t>(Rating ranking)</t>
  </si>
  <si>
    <t>No border for formulae</t>
  </si>
  <si>
    <t>z.βd</t>
  </si>
  <si>
    <t>Paramètres généraux</t>
  </si>
  <si>
    <t>Paramètres spécifiques</t>
  </si>
  <si>
    <t>Coût du capital</t>
  </si>
  <si>
    <t>Déduction notionnelle</t>
  </si>
  <si>
    <r>
      <t xml:space="preserve">WACC - </t>
    </r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not</t>
    </r>
  </si>
  <si>
    <t>EDL</t>
  </si>
  <si>
    <t>(d-LP)/d</t>
  </si>
  <si>
    <t>ERP* (Belgium)</t>
  </si>
  <si>
    <t>BB-/B+</t>
  </si>
  <si>
    <t>ACL</t>
  </si>
  <si>
    <r>
      <t xml:space="preserve">Ce </t>
    </r>
    <r>
      <rPr>
        <sz val="10"/>
        <rFont val="Arial"/>
        <family val="2"/>
      </rPr>
      <t>= Rf</t>
    </r>
    <r>
      <rPr>
        <sz val="10"/>
        <rFont val="Arial"/>
        <family val="2"/>
      </rPr>
      <t>+βe.ERP*</t>
    </r>
  </si>
  <si>
    <t>Harris-P equivalent</t>
  </si>
  <si>
    <t>Orange BL</t>
  </si>
  <si>
    <t>LEGACY</t>
  </si>
  <si>
    <t>FttH</t>
  </si>
  <si>
    <t>CABLE</t>
  </si>
  <si>
    <r>
      <rPr>
        <b/>
        <sz val="10"/>
        <color theme="0" tint="-0.499984740745262"/>
        <rFont val="Symbol"/>
        <family val="1"/>
        <charset val="2"/>
      </rPr>
      <t>b</t>
    </r>
    <r>
      <rPr>
        <b/>
        <sz val="10"/>
        <color theme="0" tint="-0.499984740745262"/>
        <rFont val="Arial"/>
        <family val="2"/>
      </rPr>
      <t>d</t>
    </r>
  </si>
  <si>
    <t xml:space="preserve">Δnot </t>
  </si>
  <si>
    <t>RM* = Rf+ERP*</t>
  </si>
  <si>
    <t>BB-</t>
  </si>
  <si>
    <r>
      <t xml:space="preserve">Cd </t>
    </r>
    <r>
      <rPr>
        <sz val="10"/>
        <rFont val="Arial"/>
        <family val="2"/>
      </rPr>
      <t>= Cd°+f</t>
    </r>
  </si>
  <si>
    <r>
      <rPr>
        <sz val="10"/>
        <rFont val="Symbol"/>
        <family val="1"/>
        <charset val="2"/>
      </rPr>
      <t>l</t>
    </r>
    <r>
      <rPr>
        <sz val="9"/>
        <rFont val="Symbol"/>
        <family val="1"/>
        <charset val="2"/>
      </rPr>
      <t xml:space="preserve"> </t>
    </r>
    <r>
      <rPr>
        <sz val="10"/>
        <rFont val="Symbol"/>
        <family val="1"/>
        <charset val="2"/>
      </rPr>
      <t>¹</t>
    </r>
    <r>
      <rPr>
        <sz val="10"/>
        <rFont val="Arial"/>
        <family val="2"/>
      </rPr>
      <t xml:space="preserve"> </t>
    </r>
    <r>
      <rPr>
        <sz val="10"/>
        <rFont val="Symbol"/>
        <family val="1"/>
        <charset val="2"/>
      </rPr>
      <t>b</t>
    </r>
    <r>
      <rPr>
        <sz val="9"/>
        <rFont val="Arial"/>
        <family val="2"/>
      </rPr>
      <t>e</t>
    </r>
  </si>
  <si>
    <t>From WACC 2</t>
  </si>
  <si>
    <t>From WACC 1</t>
  </si>
  <si>
    <t>From WACC 3</t>
  </si>
  <si>
    <t>INPUTS</t>
  </si>
  <si>
    <t>BB</t>
  </si>
  <si>
    <t>Fixe 2015</t>
  </si>
  <si>
    <t>Fixe Trad.</t>
  </si>
  <si>
    <t>Câble</t>
  </si>
  <si>
    <t>Mobile 2015</t>
  </si>
  <si>
    <t xml:space="preserve">Beta économique </t>
  </si>
  <si>
    <t>Equivalent Harris-Pringle</t>
  </si>
  <si>
    <t>ERP*</t>
  </si>
  <si>
    <t>Tnet 2015</t>
  </si>
  <si>
    <t>βa (HP)</t>
  </si>
  <si>
    <t>% Mobile</t>
  </si>
  <si>
    <t>Regulatory WACC (nominal pre-tax) (in %)</t>
  </si>
  <si>
    <t>Cost of debt (pre-tax) (in %)</t>
  </si>
  <si>
    <t>Return on equity (post-tax) (in %)</t>
  </si>
  <si>
    <t>Information not available</t>
  </si>
  <si>
    <t>TKK did not publish the WACC calculation</t>
  </si>
  <si>
    <t>TKK decision 24 July 2017</t>
  </si>
  <si>
    <t>Belgium</t>
  </si>
  <si>
    <t>BIPT decision of 26 Feb, 2015 on cost of capital for SMP operators for 2015-2017</t>
  </si>
  <si>
    <t>Denmark</t>
  </si>
  <si>
    <t>Approved by ERST on 4 Dec, 2017 as part of the decision setting regulated wholesale prices for 2018, see Annex 2</t>
  </si>
  <si>
    <t>Finland</t>
  </si>
  <si>
    <t>(FICORA memorandum of 3 May 2018)</t>
  </si>
  <si>
    <t>Calculation by Cullen</t>
  </si>
  <si>
    <t>For 2018 to 2020</t>
  </si>
  <si>
    <t>(ARCEP decision mentions 9,4% pre-tax)</t>
  </si>
  <si>
    <t>ARCEP decision 2017-0830 of 4 July 2017</t>
  </si>
  <si>
    <t>(reference date 30 June 2017)</t>
  </si>
  <si>
    <t>(nominal pre-tax 2017 before exponential smoothing) Real pre-tax 2017 before exponential smoothing: 4,17%</t>
  </si>
  <si>
    <t>Real pre-tax 2017 for fixed/mobile after exponential smoothing: 5,20%/5,26%</t>
  </si>
  <si>
    <t>BNetzA uses the same method of WACC calculation for all wholesale prices and uses the real pre-tax after exponential smoothing (Update), All values are the same for fixed and mobile, only the exponential smoothing delivers a slightly different final result,</t>
  </si>
  <si>
    <t>Last decision on fixed wholesale prices: BNetzA decision of 8 March 2018 on the prices of Layer 2 Bitstream Access,</t>
  </si>
  <si>
    <t>The BNetzA decision of 29 June 2016 on the currently valid monthly LLU charges used the WACC calculation for the reference date 30 June 2015 (real pre-tax WACC 2015 for fixed after exponential smoothing: 5,90%),</t>
  </si>
  <si>
    <t>Greece</t>
  </si>
  <si>
    <t>Not public (but cost regulated)</t>
  </si>
  <si>
    <t>ComReg decision of 18 Dec, 2014</t>
  </si>
  <si>
    <t>(previous WACC of 10,21% will remain in place until the price controls are next reviewed)</t>
  </si>
  <si>
    <t>Italy</t>
  </si>
  <si>
    <t>Art, 13 of M1/2007 and 3a &amp; 3b/2014 decision 635/15/CONS of 5 Nov, 2015 (Flash)</t>
  </si>
  <si>
    <t>Luxembourg</t>
  </si>
  <si>
    <t>ILR regulation of 14 June 2016 Explanatory note (in EN)</t>
  </si>
  <si>
    <t>Brattle Group study of 1 July 2015</t>
  </si>
  <si>
    <t>Norway</t>
  </si>
  <si>
    <t>Nkom decision of 28 Nov, 2017,</t>
  </si>
  <si>
    <t>Calculated based on data from</t>
  </si>
  <si>
    <t>Anacom decision on 2017 WACC</t>
  </si>
  <si>
    <t>Anacom decision</t>
  </si>
  <si>
    <t>Spain</t>
  </si>
  <si>
    <t>CNMC decision of 14 Dec, 2017 on 2017 WACC</t>
  </si>
  <si>
    <t>Sweden</t>
  </si>
  <si>
    <t>WACC used in the LRIC model for interconnection and LLU from 1 Jan, 2014, PTS decision of 16 Dec, 2013</t>
  </si>
  <si>
    <t>Until 23 March 2018, PTS consulted on an updated LRIC model and WACC, proposing to reduce WACC to 6,3%, The proposal was notified to the Commission on 5 June 2018 as part of the new BU LRIC+ model for fixed networks,</t>
  </si>
  <si>
    <t>Switzerland</t>
  </si>
  <si>
    <t>ComCom decision of Dec, 2013 on access to Swisscom's ducts, LLU and wholesale line rental, Not updated since 2013,</t>
  </si>
  <si>
    <t>United Kingdom</t>
  </si>
  <si>
    <t>(Rate for the Openreach copper access network for 2020/21)</t>
  </si>
  <si>
    <t>Ofcom Statement on wholesale local access market review, 28 March 2018, Annex 20 - Cost of Capital</t>
  </si>
  <si>
    <t>NGA (FIBRE)</t>
  </si>
  <si>
    <t>Cost of debt (pre- tax) (in %)</t>
  </si>
  <si>
    <t>Same as LLU, TKK does not add a risk premium for NGA deployment,</t>
  </si>
  <si>
    <t>The NGA risk premium is 2%</t>
  </si>
  <si>
    <t>Not applicable</t>
  </si>
  <si>
    <t>Unregulated</t>
  </si>
  <si>
    <t>(reference date 30</t>
  </si>
  <si>
    <t>June 2017)</t>
  </si>
  <si>
    <t>Last decision on fixed wholesale prices: BNetzA decision of 8 March 2018 on the prices of Layer 2 Bitstream Access, BNetzA does not add a risk premium for NGA,</t>
  </si>
  <si>
    <t>FTTC (risk premium of 1,2%) 11,97</t>
  </si>
  <si>
    <t>FTTH (risk premium of 3,2%)</t>
  </si>
  <si>
    <t>NGA risk premiums apply to up to one-year contracts which are not subject to any upfront fee, Art, 13 of M1/2007 and 3a &amp; 3b/2014 decision 635/15/CONS of 5 Nov, 2015 (Flash)</t>
  </si>
  <si>
    <t>Post-tax all-risk WACC for NGA is 6,5%,</t>
  </si>
  <si>
    <t>This is based on the copper network WACC after taxes (4,5%) and a fibre increment (2%), With a tax rate of 25%, the pre-tax WACC for NGA becomes 8,67%,</t>
  </si>
  <si>
    <t>Calculated based on data from Anacom</t>
  </si>
  <si>
    <t>Following CNMC´s 2016 analysis of market 3b/2014, WBA over NGA is not cost oriented but subject to ERT, Discounted cash flow calculations under the ERT consider Telefónica´s regulated WACC,</t>
  </si>
  <si>
    <t>Ex ante price control removed from fibre-based NGA products following EoI implementation on 1 Dec, 2016,</t>
  </si>
  <si>
    <t>(Ofcom applies the Other UK telecoms WACC to fibre access)</t>
  </si>
  <si>
    <t>TKK decision 30 Sep, 2013</t>
  </si>
  <si>
    <t>Approved by ERST on 4 Dec, 2017 as part of the decision setting regulated MTRs for 2018, see Annex 1,</t>
  </si>
  <si>
    <t>(ARCEP decision mentions 9,4% pre- tax)</t>
  </si>
  <si>
    <t>The BNetzA decisions of 6 March 2017 on the currently valid mobile termination rates used the WACC calculation for the reference date 30 June 2016 (real pre-tax WACC 2016 for mobile after exponential smoothing: 5,72%),</t>
  </si>
  <si>
    <t>Real pre-tax: 12,49%</t>
  </si>
  <si>
    <t>EETT decision of Dec, 2012 approving the BU-pure LRIC model</t>
  </si>
  <si>
    <t>(this WACC will be an input to the BU-LRIC model currently being developed)</t>
  </si>
  <si>
    <t>Art, 12,3 of AGCOM decision 497/15/CONS</t>
  </si>
  <si>
    <t>Brattle Group study of 15 March 2013</t>
  </si>
  <si>
    <t>Nkom decision of 27 Nov, 2017,</t>
  </si>
  <si>
    <t>(ANACOM decision of 21 June 2018)</t>
  </si>
  <si>
    <t>All operators</t>
  </si>
  <si>
    <t>CNMC decision of 14 Dec, 2017 on WACC for 2017</t>
  </si>
  <si>
    <t>Applies from 1 Oct, 2016,</t>
  </si>
  <si>
    <t>On 14 Sep, 2016, PTS completed a new market analysis of M2/2014, including revised CAS and WACC for mobile networks, reducing WACC for 2016 from 7,8% to 7,3%,</t>
  </si>
  <si>
    <t>No prices imposed until now but, in case of regulation, the same % as fixed and LLU would be used,</t>
  </si>
  <si>
    <t>4,3 - 4,8</t>
  </si>
  <si>
    <t>7,7 - 12,1</t>
  </si>
  <si>
    <t>8,0% - 9,7% assuming a corporate tax rate of 17% 8,2% - 9,9% assuming a corporate tax rate of 19% (Real pre-tax, CPI deflation: 7,0%)</t>
  </si>
  <si>
    <t>Ofcom statement on mobile call termination market review 2018-21, Annex 10, 27 March 2018</t>
  </si>
  <si>
    <t>Ce Post-tax</t>
  </si>
  <si>
    <t>WACC pre-tax</t>
  </si>
  <si>
    <t>Premium NGA</t>
  </si>
  <si>
    <t>n/a</t>
  </si>
  <si>
    <t>Vs Fixe Trad.</t>
  </si>
  <si>
    <t>WACC NGA</t>
  </si>
  <si>
    <t>Belgium 2015</t>
  </si>
  <si>
    <t>Belgium 2018e</t>
  </si>
  <si>
    <t>NRA</t>
  </si>
  <si>
    <t>Copper</t>
  </si>
  <si>
    <t>"NGA"</t>
  </si>
  <si>
    <t>If Copper = "NGA", then put in "NGA"</t>
  </si>
  <si>
    <t>Belgium Trad put in "NGA"</t>
  </si>
  <si>
    <t>F/M</t>
  </si>
  <si>
    <t>WACC 2018e</t>
  </si>
  <si>
    <t>WACC 2015</t>
  </si>
  <si>
    <t>Esp 12/2017</t>
  </si>
  <si>
    <t>Nld 03/2013</t>
  </si>
  <si>
    <t>Deu 06/2017</t>
  </si>
  <si>
    <t>Fin 05/2018</t>
  </si>
  <si>
    <t>Lux 06/2016</t>
  </si>
  <si>
    <t>Dnk 12/2017</t>
  </si>
  <si>
    <t>Swe 09/2016</t>
  </si>
  <si>
    <t>Fra 07/2017</t>
  </si>
  <si>
    <t>Prt 06/2018</t>
  </si>
  <si>
    <t>Irl 12/2014</t>
  </si>
  <si>
    <t>Nor 11/2017</t>
  </si>
  <si>
    <t>Ita 09/2015</t>
  </si>
  <si>
    <t>Aut 09/2013</t>
  </si>
  <si>
    <t>Grc 12/2012</t>
  </si>
  <si>
    <t>Swi 12/2013</t>
  </si>
  <si>
    <t>Nld 07/2015</t>
  </si>
  <si>
    <t>Prt 01/2017</t>
  </si>
  <si>
    <t>Aut 07/2017</t>
  </si>
  <si>
    <t>Swe 03/2018</t>
  </si>
  <si>
    <t>Gbr 03/2018</t>
  </si>
  <si>
    <t>Ita 11/2015</t>
  </si>
  <si>
    <t>+ "NGA (fibre)"</t>
  </si>
  <si>
    <t>Vs. Legacy</t>
  </si>
  <si>
    <r>
      <rPr>
        <sz val="10"/>
        <color theme="0" tint="-0.34998626667073579"/>
        <rFont val="Arial"/>
        <family val="2"/>
      </rPr>
      <t>ERP*</t>
    </r>
    <r>
      <rPr>
        <sz val="10"/>
        <rFont val="Arial"/>
        <family val="2"/>
      </rPr>
      <t xml:space="preserve"> </t>
    </r>
    <r>
      <rPr>
        <sz val="10"/>
        <rFont val="Symbol"/>
        <family val="1"/>
        <charset val="2"/>
      </rPr>
      <t>»</t>
    </r>
  </si>
  <si>
    <r>
      <rPr>
        <sz val="10"/>
        <color theme="0" tint="-0.34998626667073579"/>
        <rFont val="Arial"/>
        <family val="2"/>
      </rPr>
      <t xml:space="preserve">RM* </t>
    </r>
    <r>
      <rPr>
        <sz val="10"/>
        <rFont val="Symbol"/>
        <family val="1"/>
        <charset val="2"/>
      </rPr>
      <t>»</t>
    </r>
  </si>
  <si>
    <t xml:space="preserve">No border for WACC 2015 formulae </t>
  </si>
  <si>
    <t>Vs. Fixed:</t>
  </si>
  <si>
    <t>Cable:</t>
  </si>
  <si>
    <t>Misc. calculations</t>
  </si>
  <si>
    <t>Activities avg WACC</t>
  </si>
  <si>
    <t>Vs. normalized WACC</t>
  </si>
  <si>
    <t xml:space="preserve">Weight </t>
  </si>
  <si>
    <t>Not used</t>
  </si>
  <si>
    <t xml:space="preserve">8,0% - 9,7% </t>
  </si>
  <si>
    <t xml:space="preserve">No prices imposed until now </t>
  </si>
  <si>
    <t>NRA &amp; date</t>
  </si>
  <si>
    <t>Ranking by values</t>
  </si>
  <si>
    <t>Ranking by dates</t>
  </si>
  <si>
    <t xml:space="preserve">+ FttH (vs. FttC)     Cf. Notes </t>
  </si>
  <si>
    <t>D/E</t>
  </si>
  <si>
    <t>RM*</t>
  </si>
  <si>
    <t>d°</t>
  </si>
  <si>
    <t>HP eq.</t>
  </si>
  <si>
    <r>
      <t>(</t>
    </r>
    <r>
      <rPr>
        <sz val="10"/>
        <color theme="1" tint="0.499984740745262"/>
        <rFont val="Symbol"/>
        <family val="1"/>
        <charset val="2"/>
      </rPr>
      <t>l</t>
    </r>
    <r>
      <rPr>
        <sz val="10"/>
        <color theme="1" tint="0.499984740745262"/>
        <rFont val="Arial"/>
        <family val="2"/>
      </rPr>
      <t xml:space="preserve"> = </t>
    </r>
    <r>
      <rPr>
        <sz val="10"/>
        <color theme="1" tint="0.499984740745262"/>
        <rFont val="Symbol"/>
        <family val="1"/>
        <charset val="2"/>
      </rPr>
      <t>b</t>
    </r>
    <r>
      <rPr>
        <sz val="9"/>
        <color theme="1" tint="0.499984740745262"/>
        <rFont val="Arial"/>
        <family val="2"/>
      </rPr>
      <t>e)</t>
    </r>
  </si>
  <si>
    <t>From WACC 1 &amp; 3</t>
  </si>
  <si>
    <t>BIPT</t>
  </si>
  <si>
    <t>Vs. 2015</t>
  </si>
  <si>
    <t>2015</t>
  </si>
  <si>
    <t>% Mob.</t>
  </si>
  <si>
    <t>Vs 2018e</t>
  </si>
  <si>
    <t>2018e</t>
  </si>
  <si>
    <t>WACC* 2019 - 2015</t>
  </si>
  <si>
    <t>2020+</t>
  </si>
  <si>
    <t>Cullen &amp; BIPT 2019 to Ms Word</t>
  </si>
  <si>
    <t>NC</t>
  </si>
  <si>
    <t>Cd°</t>
  </si>
  <si>
    <t>(d°-LP)/d°</t>
  </si>
  <si>
    <t>=</t>
  </si>
  <si>
    <t>-1 cran</t>
  </si>
  <si>
    <r>
      <rPr>
        <sz val="10"/>
        <color theme="0" tint="-0.34998626667073579"/>
        <rFont val="Symbol"/>
        <family val="1"/>
        <charset val="2"/>
      </rPr>
      <t>¬</t>
    </r>
    <r>
      <rPr>
        <sz val="9"/>
        <color theme="0" tint="-0.34998626667073579"/>
        <rFont val="Arial"/>
        <family val="2"/>
      </rPr>
      <t xml:space="preserve"> </t>
    </r>
    <r>
      <rPr>
        <sz val="10"/>
        <color theme="0" tint="-0.34998626667073579"/>
        <rFont val="Arial"/>
        <family val="2"/>
      </rPr>
      <t>Manual</t>
    </r>
  </si>
  <si>
    <t>d° = Cd° - Rf</t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</si>
  <si>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Taux d’imposition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</si>
  <si>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Taux sans risque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</si>
  <si>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Prime de marché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</si>
  <si>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Levier financier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</si>
  <si>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Notation crédit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</si>
  <si>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 xml:space="preserve">Beta économique 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</si>
  <si>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Equivalent Harris-Pringle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</si>
  <si>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Beta de la dette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</si>
  <si>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Beta fonds propres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</si>
  <si>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Coût de la dette (dont f)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</si>
  <si>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Coût du capital propre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</si>
  <si>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 xml:space="preserve">WACC avant impôt 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</si>
  <si>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 xml:space="preserve">Prime de dette, </t>
    </r>
    <r>
      <rPr>
        <i/>
        <sz val="10"/>
        <rFont val="Arial"/>
        <family val="2"/>
      </rPr>
      <t>hors f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</si>
  <si>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[</t>
    </r>
    <r>
      <rPr>
        <sz val="10"/>
        <rFont val="Arial"/>
        <family val="2"/>
      </rPr>
      <t>WACC vs Fixe Trad.]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</si>
  <si>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t</t>
    </r>
  </si>
  <si>
    <r>
      <rPr>
        <b/>
        <sz val="10"/>
        <rFont val="Symbol"/>
        <family val="1"/>
        <charset val="2"/>
      </rPr>
      <t>D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Rf</t>
    </r>
  </si>
  <si>
    <r>
      <rPr>
        <b/>
        <sz val="10"/>
        <rFont val="Symbol"/>
        <family val="1"/>
        <charset val="2"/>
      </rPr>
      <t xml:space="preserve">D </t>
    </r>
    <r>
      <rPr>
        <b/>
        <sz val="10"/>
        <rFont val="Arial"/>
        <family val="2"/>
      </rPr>
      <t>ERP*</t>
    </r>
  </si>
  <si>
    <r>
      <rPr>
        <b/>
        <sz val="10"/>
        <rFont val="Symbol"/>
        <family val="1"/>
        <charset val="2"/>
      </rPr>
      <t>D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g</t>
    </r>
  </si>
  <si>
    <r>
      <rPr>
        <b/>
        <sz val="10"/>
        <rFont val="Symbol"/>
        <family val="1"/>
        <charset val="2"/>
      </rPr>
      <t>D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NC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</si>
  <si>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d°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</si>
  <si>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βa (HP)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</si>
  <si>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βd</t>
    </r>
  </si>
  <si>
    <r>
      <rPr>
        <b/>
        <sz val="10"/>
        <rFont val="Symbol"/>
        <family val="1"/>
        <charset val="2"/>
      </rPr>
      <t>D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βa</t>
    </r>
  </si>
  <si>
    <r>
      <rPr>
        <b/>
        <sz val="10"/>
        <rFont val="Symbol"/>
        <family val="1"/>
        <charset val="2"/>
      </rPr>
      <t>D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βe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</si>
  <si>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Cd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</si>
  <si>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Ce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</si>
  <si>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(vs Trad.)</t>
    </r>
  </si>
  <si>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Cd°</t>
    </r>
  </si>
  <si>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 xml:space="preserve"> d°</t>
    </r>
  </si>
  <si>
    <t>(1-t)/(1-g)+g</t>
  </si>
  <si>
    <r>
      <t>(1-t)/(1-g).</t>
    </r>
    <r>
      <rPr>
        <sz val="10"/>
        <color theme="1" tint="0.499984740745262"/>
        <rFont val="Symbol"/>
        <family val="1"/>
        <charset val="2"/>
      </rPr>
      <t>b</t>
    </r>
  </si>
  <si>
    <t>(1-g)/(1-t)</t>
  </si>
  <si>
    <r>
      <rPr>
        <b/>
        <sz val="10"/>
        <rFont val="Symbol"/>
        <family val="1"/>
        <charset val="2"/>
      </rPr>
      <t>D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D/E</t>
    </r>
  </si>
  <si>
    <t>1/(1-t)</t>
  </si>
  <si>
    <t>Ce/(1-t)</t>
  </si>
  <si>
    <t>With 'CAPM'</t>
  </si>
  <si>
    <t>Delta</t>
  </si>
  <si>
    <t>%LT.g</t>
  </si>
  <si>
    <t>WACC parameters (LLU)</t>
  </si>
  <si>
    <t>WACC parameters (NGA)</t>
  </si>
  <si>
    <t>WACC parameters (Mobile)</t>
  </si>
  <si>
    <t>LLU</t>
  </si>
  <si>
    <t>Return on equity (post- tax) (in %)</t>
  </si>
  <si>
    <t>Equity beta</t>
  </si>
  <si>
    <t>Dnk 01/2019</t>
  </si>
  <si>
    <t>Deu 06/2018</t>
  </si>
  <si>
    <t>WACC 2019</t>
  </si>
  <si>
    <t>g.ERP*</t>
  </si>
  <si>
    <t>g.ERP*/(1-t)</t>
  </si>
  <si>
    <t>Rf weight on Mobile WACC</t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</si>
  <si>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Taux d’imposition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</si>
  <si>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t</t>
    </r>
  </si>
  <si>
    <r>
      <t>%</t>
    </r>
    <r>
      <rPr>
        <b/>
        <sz val="10"/>
        <rFont val="Symbol"/>
        <family val="1"/>
        <charset val="2"/>
      </rPr>
      <t>D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Rf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</si>
  <si>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Taux sans risque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</si>
  <si>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Prime de marché</t>
    </r>
  </si>
  <si>
    <r>
      <t>%</t>
    </r>
    <r>
      <rPr>
        <b/>
        <sz val="10"/>
        <rFont val="Symbol"/>
        <family val="1"/>
        <charset val="2"/>
      </rPr>
      <t xml:space="preserve">D </t>
    </r>
    <r>
      <rPr>
        <b/>
        <sz val="10"/>
        <rFont val="Arial"/>
        <family val="2"/>
      </rPr>
      <t>ERP*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</si>
  <si>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Levier financier</t>
    </r>
  </si>
  <si>
    <r>
      <t>%</t>
    </r>
    <r>
      <rPr>
        <b/>
        <sz val="10"/>
        <rFont val="Symbol"/>
        <family val="1"/>
        <charset val="2"/>
      </rPr>
      <t>D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g</t>
    </r>
  </si>
  <si>
    <r>
      <t>%</t>
    </r>
    <r>
      <rPr>
        <b/>
        <sz val="10"/>
        <rFont val="Symbol"/>
        <family val="1"/>
        <charset val="2"/>
      </rPr>
      <t>D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D/E</t>
    </r>
  </si>
  <si>
    <r>
      <rPr>
        <i/>
        <sz val="10"/>
        <rFont val="Symbol"/>
        <family val="1"/>
        <charset val="2"/>
      </rPr>
      <t>D</t>
    </r>
    <r>
      <rPr>
        <i/>
        <sz val="9"/>
        <rFont val="Arial"/>
        <family val="2"/>
      </rPr>
      <t xml:space="preserve"> </t>
    </r>
    <r>
      <rPr>
        <i/>
        <sz val="10"/>
        <rFont val="Arial"/>
        <family val="2"/>
      </rPr>
      <t>Notation crédit</t>
    </r>
  </si>
  <si>
    <r>
      <rPr>
        <b/>
        <i/>
        <sz val="10"/>
        <rFont val="Symbol"/>
        <family val="1"/>
        <charset val="2"/>
      </rPr>
      <t>D</t>
    </r>
    <r>
      <rPr>
        <b/>
        <i/>
        <sz val="9"/>
        <rFont val="Arial"/>
        <family val="2"/>
      </rPr>
      <t xml:space="preserve"> </t>
    </r>
    <r>
      <rPr>
        <b/>
        <i/>
        <sz val="10"/>
        <rFont val="Arial"/>
        <family val="2"/>
      </rPr>
      <t>NC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</si>
  <si>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d°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</si>
  <si>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 xml:space="preserve">Prime de dette, </t>
    </r>
    <r>
      <rPr>
        <i/>
        <sz val="10"/>
        <rFont val="Arial"/>
        <family val="2"/>
      </rPr>
      <t>hors f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</si>
  <si>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 xml:space="preserve">Beta économique 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</si>
  <si>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Equivalent Harris-Pringle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</si>
  <si>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Beta de la dette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</si>
  <si>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Beta fonds propres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</si>
  <si>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Coût de la dette (dont f)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</si>
  <si>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Coût du capital propre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</si>
  <si>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 xml:space="preserve">WACC avant impôt </t>
    </r>
  </si>
  <si>
    <r>
      <rPr>
        <b/>
        <sz val="10"/>
        <rFont val="Symbol"/>
        <family val="1"/>
        <charset val="2"/>
      </rPr>
      <t>%D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βa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</si>
  <si>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βa (HP)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</si>
  <si>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βd</t>
    </r>
  </si>
  <si>
    <r>
      <t>%</t>
    </r>
    <r>
      <rPr>
        <b/>
        <sz val="10"/>
        <rFont val="Symbol"/>
        <family val="1"/>
        <charset val="2"/>
      </rPr>
      <t>D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βe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</si>
  <si>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Cd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</si>
  <si>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Cd°</t>
    </r>
  </si>
  <si>
    <r>
      <t>%</t>
    </r>
    <r>
      <rPr>
        <sz val="10"/>
        <rFont val="Symbol"/>
        <family val="1"/>
        <charset val="2"/>
      </rPr>
      <t>D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>Ce</t>
    </r>
  </si>
  <si>
    <r>
      <rPr>
        <b/>
        <sz val="10"/>
        <rFont val="Symbol"/>
        <family val="1"/>
        <charset val="2"/>
      </rPr>
      <t>D</t>
    </r>
    <r>
      <rPr>
        <b/>
        <sz val="9"/>
        <rFont val="Arial"/>
        <family val="2"/>
      </rPr>
      <t xml:space="preserve"> WACC</t>
    </r>
  </si>
  <si>
    <r>
      <t>%</t>
    </r>
    <r>
      <rPr>
        <b/>
        <sz val="10"/>
        <rFont val="Symbol"/>
        <family val="1"/>
        <charset val="2"/>
      </rPr>
      <t>D</t>
    </r>
    <r>
      <rPr>
        <b/>
        <sz val="9"/>
        <rFont val="Arial"/>
        <family val="2"/>
      </rPr>
      <t xml:space="preserve"> WACC</t>
    </r>
  </si>
  <si>
    <r>
      <t>%</t>
    </r>
    <r>
      <rPr>
        <sz val="10"/>
        <color theme="0" tint="-0.34998626667073579"/>
        <rFont val="Symbol"/>
        <family val="1"/>
        <charset val="2"/>
      </rPr>
      <t>D</t>
    </r>
    <r>
      <rPr>
        <sz val="9"/>
        <color theme="0" tint="-0.34998626667073579"/>
        <rFont val="Arial"/>
        <family val="2"/>
      </rPr>
      <t xml:space="preserve"> [</t>
    </r>
    <r>
      <rPr>
        <sz val="10"/>
        <color theme="0" tint="-0.34998626667073579"/>
        <rFont val="Arial"/>
        <family val="2"/>
      </rPr>
      <t>WACC vs Fixe Trad.]</t>
    </r>
  </si>
  <si>
    <r>
      <t>%</t>
    </r>
    <r>
      <rPr>
        <sz val="10"/>
        <color theme="0" tint="-0.34998626667073579"/>
        <rFont val="Symbol"/>
        <family val="1"/>
        <charset val="2"/>
      </rPr>
      <t>D</t>
    </r>
    <r>
      <rPr>
        <sz val="9"/>
        <color theme="0" tint="-0.34998626667073579"/>
        <rFont val="Arial"/>
        <family val="2"/>
      </rPr>
      <t xml:space="preserve"> </t>
    </r>
    <r>
      <rPr>
        <sz val="10"/>
        <color theme="0" tint="-0.34998626667073579"/>
        <rFont val="Arial"/>
        <family val="2"/>
      </rPr>
      <t>(vs Trad.)</t>
    </r>
  </si>
  <si>
    <t xml:space="preserve">Issuances fees f </t>
  </si>
  <si>
    <r>
      <t>%</t>
    </r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 xml:space="preserve"> d°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</si>
</sst>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.0"/>
    <numFmt numFmtId="166" formatCode="0.0%"/>
    <numFmt numFmtId="167" formatCode="[$-809]mmmm\ yyyy;@"/>
    <numFmt numFmtId="168" formatCode="_(* #,##0_);_(* \(#,##0\);_(* &quot;-&quot;_);_(@_)"/>
    <numFmt numFmtId="169" formatCode="[$-40C]mmm\-yy;@"/>
  </numFmts>
  <fonts count="8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sz val="10"/>
      <color theme="1" tint="0.34998626667073579"/>
      <name val="Arial"/>
      <family val="2"/>
    </font>
    <font>
      <sz val="10"/>
      <color theme="1" tint="0.499984740745262"/>
      <name val="Arial"/>
      <family val="2"/>
    </font>
    <font>
      <sz val="10"/>
      <color theme="0" tint="-0.14999847407452621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4.9989318521683403E-2"/>
      <name val="Arial"/>
      <family val="2"/>
    </font>
    <font>
      <sz val="10"/>
      <color theme="2" tint="-9.9978637043366805E-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0" tint="-0.34998626667073579"/>
      <name val="Arial"/>
      <family val="2"/>
    </font>
    <font>
      <i/>
      <sz val="10"/>
      <color rgb="FF7F7F7F"/>
      <name val="Arial"/>
      <family val="2"/>
    </font>
    <font>
      <sz val="10"/>
      <color rgb="FF0070C0"/>
      <name val="Arial"/>
      <family val="2"/>
    </font>
    <font>
      <sz val="10"/>
      <color theme="0" tint="-0.249977111117893"/>
      <name val="Arial"/>
      <family val="2"/>
    </font>
    <font>
      <sz val="10"/>
      <name val="Symbol"/>
      <family val="1"/>
      <charset val="2"/>
    </font>
    <font>
      <b/>
      <sz val="10"/>
      <color theme="0" tint="-0.249977111117893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u/>
      <sz val="10"/>
      <name val="Arial"/>
      <family val="2"/>
    </font>
    <font>
      <sz val="10"/>
      <color theme="1" tint="0.499984740745262"/>
      <name val="Symbol"/>
      <family val="1"/>
      <charset val="2"/>
    </font>
    <font>
      <u/>
      <sz val="10"/>
      <color theme="10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/>
      <name val="Symbol"/>
      <family val="1"/>
      <charset val="2"/>
    </font>
    <font>
      <b/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b/>
      <u/>
      <sz val="10"/>
      <color theme="1"/>
      <name val="Arial"/>
      <family val="2"/>
    </font>
    <font>
      <i/>
      <sz val="10"/>
      <color theme="2" tint="-9.9978637043366805E-2"/>
      <name val="Arial"/>
      <family val="2"/>
    </font>
    <font>
      <b/>
      <sz val="10"/>
      <color theme="0" tint="-0.14999847407452621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theme="0" tint="-0.499984740745262"/>
      <name val="Arial"/>
      <family val="1"/>
      <charset val="2"/>
    </font>
    <font>
      <b/>
      <sz val="10"/>
      <color theme="0" tint="-0.499984740745262"/>
      <name val="Symbol"/>
      <family val="1"/>
      <charset val="2"/>
    </font>
    <font>
      <sz val="10"/>
      <name val="Arial"/>
      <family val="1"/>
      <charset val="2"/>
    </font>
    <font>
      <sz val="9"/>
      <color theme="1" tint="0.499984740745262"/>
      <name val="Arial"/>
      <family val="2"/>
    </font>
    <font>
      <sz val="10"/>
      <color theme="0" tint="-0.34998626667073579"/>
      <name val="Arial"/>
      <family val="2"/>
      <charset val="2"/>
    </font>
    <font>
      <sz val="9"/>
      <name val="Symbol"/>
      <family val="1"/>
      <charset val="2"/>
    </font>
    <font>
      <sz val="10"/>
      <color rgb="FF00B0F0"/>
      <name val="Arial"/>
      <family val="2"/>
    </font>
    <font>
      <sz val="10"/>
      <name val="Arial"/>
      <family val="2"/>
      <charset val="2"/>
    </font>
    <font>
      <u/>
      <sz val="11"/>
      <color theme="10"/>
      <name val="Calibri"/>
      <family val="2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0"/>
      <color theme="0" tint="-0.34998626667073579"/>
      <name val="Arial"/>
      <family val="2"/>
    </font>
    <font>
      <sz val="10"/>
      <color theme="0" tint="-0.34998626667073579"/>
      <name val="Arial"/>
      <family val="1"/>
      <charset val="2"/>
    </font>
    <font>
      <sz val="10"/>
      <color theme="0" tint="-0.34998626667073579"/>
      <name val="Symbol"/>
      <family val="1"/>
      <charset val="2"/>
    </font>
    <font>
      <sz val="9"/>
      <color theme="0" tint="-0.34998626667073579"/>
      <name val="Arial"/>
      <family val="2"/>
    </font>
    <font>
      <i/>
      <sz val="10"/>
      <name val="Arial"/>
      <family val="2"/>
    </font>
    <font>
      <b/>
      <sz val="10"/>
      <name val="Symbol"/>
      <family val="1"/>
      <charset val="2"/>
    </font>
    <font>
      <b/>
      <sz val="9"/>
      <name val="Arial"/>
      <family val="2"/>
    </font>
    <font>
      <b/>
      <sz val="10"/>
      <name val="Arial"/>
      <family val="1"/>
      <charset val="2"/>
    </font>
    <font>
      <b/>
      <u/>
      <sz val="11"/>
      <name val="Calibri"/>
      <family val="2"/>
      <scheme val="minor"/>
    </font>
    <font>
      <b/>
      <sz val="10"/>
      <color indexed="23" tint="0.34998626667073579"/>
      <name val="Arial"/>
      <family val="2"/>
    </font>
    <font>
      <b/>
      <sz val="10"/>
      <color indexed="23"/>
      <name val="Arial"/>
      <family val="2"/>
    </font>
    <font>
      <sz val="8"/>
      <name val="Times New Roman"/>
      <family val="1"/>
    </font>
    <font>
      <b/>
      <sz val="8.5"/>
      <color rgb="FFFFFFFF"/>
      <name val="Arial"/>
      <family val="2"/>
    </font>
    <font>
      <b/>
      <sz val="8.5"/>
      <name val="Arial"/>
      <family val="2"/>
    </font>
    <font>
      <sz val="10"/>
      <color theme="1" tint="0.499984740745262"/>
      <name val="Arial"/>
      <family val="1"/>
      <charset val="2"/>
    </font>
    <font>
      <i/>
      <sz val="10"/>
      <name val="Arial"/>
      <family val="1"/>
      <charset val="2"/>
    </font>
    <font>
      <i/>
      <sz val="10"/>
      <name val="Symbol"/>
      <family val="1"/>
      <charset val="2"/>
    </font>
    <font>
      <i/>
      <sz val="9"/>
      <name val="Arial"/>
      <family val="2"/>
    </font>
    <font>
      <b/>
      <i/>
      <sz val="10"/>
      <name val="Arial"/>
      <family val="1"/>
      <charset val="2"/>
    </font>
    <font>
      <b/>
      <i/>
      <sz val="10"/>
      <name val="Symbol"/>
      <family val="1"/>
      <charset val="2"/>
    </font>
    <font>
      <b/>
      <i/>
      <sz val="9"/>
      <name val="Arial"/>
      <family val="2"/>
    </font>
    <font>
      <b/>
      <i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0099A1"/>
        <bgColor indexed="64"/>
      </patternFill>
    </fill>
    <fill>
      <patternFill patternType="solid">
        <fgColor rgb="FF4DB4B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Dashed">
        <color indexed="64"/>
      </right>
      <top style="dotted">
        <color indexed="64"/>
      </top>
      <bottom/>
      <diagonal/>
    </border>
    <border>
      <left/>
      <right style="medium">
        <color rgb="FF00767C"/>
      </right>
      <top style="thick">
        <color rgb="FF00767C"/>
      </top>
      <bottom/>
      <diagonal/>
    </border>
    <border>
      <left style="medium">
        <color rgb="FF00767C"/>
      </left>
      <right/>
      <top style="thick">
        <color rgb="FF00767C"/>
      </top>
      <bottom style="thick">
        <color rgb="FF00767C"/>
      </bottom>
      <diagonal/>
    </border>
    <border>
      <left/>
      <right style="medium">
        <color rgb="FF00767C"/>
      </right>
      <top style="thick">
        <color rgb="FF00767C"/>
      </top>
      <bottom style="thick">
        <color rgb="FF00767C"/>
      </bottom>
      <diagonal/>
    </border>
    <border>
      <left style="medium">
        <color rgb="FF00767C"/>
      </left>
      <right/>
      <top style="thick">
        <color rgb="FF00767C"/>
      </top>
      <bottom/>
      <diagonal/>
    </border>
    <border>
      <left/>
      <right style="medium">
        <color rgb="FF00767C"/>
      </right>
      <top/>
      <bottom style="thick">
        <color rgb="FF00767C"/>
      </bottom>
      <diagonal/>
    </border>
    <border>
      <left style="medium">
        <color rgb="FF00767C"/>
      </left>
      <right/>
      <top/>
      <bottom style="thick">
        <color rgb="FF00767C"/>
      </bottom>
      <diagonal/>
    </border>
    <border>
      <left/>
      <right style="medium">
        <color rgb="FF2CB5BB"/>
      </right>
      <top style="thick">
        <color rgb="FF00767C"/>
      </top>
      <bottom/>
      <diagonal/>
    </border>
    <border>
      <left/>
      <right style="medium">
        <color rgb="FF2CB5BB"/>
      </right>
      <top/>
      <bottom/>
      <diagonal/>
    </border>
    <border>
      <left/>
      <right style="medium">
        <color rgb="FF2CB5BB"/>
      </right>
      <top/>
      <bottom style="medium">
        <color rgb="FF2CB5BB"/>
      </bottom>
      <diagonal/>
    </border>
    <border>
      <left/>
      <right/>
      <top/>
      <bottom style="medium">
        <color rgb="FF2CB5BB"/>
      </bottom>
      <diagonal/>
    </border>
    <border>
      <left/>
      <right style="medium">
        <color rgb="FF2CB5BB"/>
      </right>
      <top style="medium">
        <color rgb="FF2CB5BB"/>
      </top>
      <bottom/>
      <diagonal/>
    </border>
    <border>
      <left style="medium">
        <color rgb="FF2CB5BB"/>
      </left>
      <right style="medium">
        <color rgb="FF2CB5BB"/>
      </right>
      <top style="medium">
        <color rgb="FF2CB5BB"/>
      </top>
      <bottom/>
      <diagonal/>
    </border>
    <border>
      <left style="medium">
        <color rgb="FF2CB5BB"/>
      </left>
      <right style="medium">
        <color rgb="FF2CB5BB"/>
      </right>
      <top/>
      <bottom style="medium">
        <color rgb="FF2CB5BB"/>
      </bottom>
      <diagonal/>
    </border>
    <border>
      <left style="medium">
        <color rgb="FF2CB5BB"/>
      </left>
      <right style="medium">
        <color rgb="FF2CB5BB"/>
      </right>
      <top/>
      <bottom/>
      <diagonal/>
    </border>
    <border>
      <left style="medium">
        <color rgb="FF2CB5BB"/>
      </left>
      <right style="medium">
        <color rgb="FF2CB5BB"/>
      </right>
      <top style="thick">
        <color rgb="FF00767C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dotted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/>
      <right/>
      <top style="thick">
        <color rgb="FF00767C"/>
      </top>
      <bottom style="thick">
        <color rgb="FF00767C"/>
      </bottom>
      <diagonal/>
    </border>
    <border>
      <left/>
      <right/>
      <top/>
      <bottom style="thick">
        <color rgb="FF00767C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7">
    <xf numFmtId="167" fontId="0" fillId="0" borderId="0"/>
    <xf numFmtId="9" fontId="8" fillId="0" borderId="0" applyFont="0" applyFill="0" applyBorder="0" applyAlignment="0" applyProtection="0"/>
    <xf numFmtId="167" fontId="7" fillId="0" borderId="0"/>
    <xf numFmtId="167" fontId="31" fillId="0" borderId="0">
      <alignment vertical="top"/>
    </xf>
    <xf numFmtId="167" fontId="8" fillId="0" borderId="0"/>
    <xf numFmtId="167" fontId="8" fillId="0" borderId="0"/>
    <xf numFmtId="167" fontId="36" fillId="0" borderId="0" applyNumberFormat="0" applyFill="0" applyBorder="0" applyAlignment="0" applyProtection="0">
      <alignment vertical="top"/>
      <protection locked="0"/>
    </xf>
    <xf numFmtId="167" fontId="8" fillId="0" borderId="0"/>
    <xf numFmtId="164" fontId="6" fillId="0" borderId="0" applyFont="0" applyFill="0" applyBorder="0" applyAlignment="0" applyProtection="0"/>
    <xf numFmtId="167" fontId="8" fillId="0" borderId="0"/>
    <xf numFmtId="9" fontId="6" fillId="0" borderId="0" applyFont="0" applyFill="0" applyBorder="0" applyAlignment="0" applyProtection="0"/>
    <xf numFmtId="167" fontId="37" fillId="0" borderId="0"/>
    <xf numFmtId="168" fontId="38" fillId="12" borderId="0" applyNumberFormat="0">
      <alignment horizontal="right"/>
    </xf>
    <xf numFmtId="167" fontId="38" fillId="12" borderId="0">
      <alignment horizontal="left" wrapText="1"/>
    </xf>
    <xf numFmtId="167" fontId="39" fillId="12" borderId="0">
      <alignment horizontal="left" wrapText="1"/>
    </xf>
    <xf numFmtId="0" fontId="2" fillId="0" borderId="0"/>
    <xf numFmtId="0" fontId="57" fillId="0" borderId="0" applyNumberFormat="0" applyFill="0" applyBorder="0" applyAlignment="0" applyProtection="0">
      <alignment vertical="top"/>
      <protection locked="0"/>
    </xf>
  </cellStyleXfs>
  <cellXfs count="656">
    <xf numFmtId="167" fontId="0" fillId="0" borderId="0" xfId="0"/>
    <xf numFmtId="167" fontId="8" fillId="0" borderId="0" xfId="0" applyFont="1" applyAlignment="1">
      <alignment vertical="top"/>
    </xf>
    <xf numFmtId="10" fontId="25" fillId="0" borderId="0" xfId="0" applyNumberFormat="1" applyFont="1" applyAlignment="1">
      <alignment horizontal="left" vertical="top"/>
    </xf>
    <xf numFmtId="167" fontId="9" fillId="0" borderId="0" xfId="0" applyFont="1" applyAlignment="1">
      <alignment horizontal="left" vertical="top"/>
    </xf>
    <xf numFmtId="167" fontId="9" fillId="0" borderId="0" xfId="0" applyFont="1" applyAlignment="1">
      <alignment vertical="top"/>
    </xf>
    <xf numFmtId="10" fontId="8" fillId="0" borderId="0" xfId="0" applyNumberFormat="1" applyFont="1" applyAlignment="1">
      <alignment horizontal="left" vertical="top"/>
    </xf>
    <xf numFmtId="10" fontId="21" fillId="0" borderId="0" xfId="1" applyNumberFormat="1" applyFont="1" applyAlignment="1">
      <alignment horizontal="left" vertical="top"/>
    </xf>
    <xf numFmtId="167" fontId="0" fillId="0" borderId="0" xfId="0" applyAlignment="1">
      <alignment vertical="top"/>
    </xf>
    <xf numFmtId="166" fontId="8" fillId="0" borderId="0" xfId="0" applyNumberFormat="1" applyFont="1" applyAlignment="1">
      <alignment horizontal="left" vertical="top"/>
    </xf>
    <xf numFmtId="10" fontId="8" fillId="3" borderId="2" xfId="1" applyNumberFormat="1" applyFill="1" applyBorder="1" applyAlignment="1">
      <alignment horizontal="left" vertical="top"/>
    </xf>
    <xf numFmtId="167" fontId="14" fillId="0" borderId="0" xfId="0" applyFont="1" applyAlignment="1">
      <alignment vertical="top"/>
    </xf>
    <xf numFmtId="167" fontId="14" fillId="0" borderId="0" xfId="0" applyFont="1" applyAlignment="1">
      <alignment horizontal="left" vertical="top"/>
    </xf>
    <xf numFmtId="167" fontId="25" fillId="0" borderId="0" xfId="0" applyFont="1" applyAlignment="1">
      <alignment horizontal="left" vertical="top"/>
    </xf>
    <xf numFmtId="167" fontId="15" fillId="0" borderId="0" xfId="0" applyFont="1" applyAlignment="1">
      <alignment vertical="top"/>
    </xf>
    <xf numFmtId="9" fontId="8" fillId="3" borderId="2" xfId="0" applyNumberFormat="1" applyFont="1" applyFill="1" applyBorder="1" applyAlignment="1">
      <alignment horizontal="left" vertical="top"/>
    </xf>
    <xf numFmtId="9" fontId="8" fillId="0" borderId="0" xfId="0" applyNumberFormat="1" applyFont="1" applyAlignment="1">
      <alignment horizontal="left" vertical="top"/>
    </xf>
    <xf numFmtId="10" fontId="8" fillId="0" borderId="0" xfId="1" applyNumberFormat="1" applyAlignment="1">
      <alignment horizontal="left" vertical="top"/>
    </xf>
    <xf numFmtId="2" fontId="8" fillId="3" borderId="2" xfId="0" applyNumberFormat="1" applyFont="1" applyFill="1" applyBorder="1" applyAlignment="1">
      <alignment horizontal="left" vertical="top"/>
    </xf>
    <xf numFmtId="167" fontId="10" fillId="0" borderId="0" xfId="0" applyFont="1" applyAlignment="1">
      <alignment vertical="top"/>
    </xf>
    <xf numFmtId="167" fontId="8" fillId="0" borderId="0" xfId="0" quotePrefix="1" applyFont="1" applyAlignment="1">
      <alignment horizontal="left" vertical="top"/>
    </xf>
    <xf numFmtId="10" fontId="8" fillId="0" borderId="0" xfId="1" quotePrefix="1" applyNumberFormat="1" applyAlignment="1">
      <alignment horizontal="left" vertical="top"/>
    </xf>
    <xf numFmtId="167" fontId="8" fillId="0" borderId="0" xfId="0" applyFont="1" applyAlignment="1">
      <alignment horizontal="right" vertical="top"/>
    </xf>
    <xf numFmtId="167" fontId="8" fillId="0" borderId="0" xfId="0" applyFont="1" applyAlignment="1">
      <alignment horizontal="left" vertical="top"/>
    </xf>
    <xf numFmtId="2" fontId="8" fillId="0" borderId="0" xfId="0" applyNumberFormat="1" applyFont="1" applyAlignment="1">
      <alignment horizontal="left" vertical="top"/>
    </xf>
    <xf numFmtId="10" fontId="8" fillId="0" borderId="2" xfId="1" applyNumberFormat="1" applyBorder="1" applyAlignment="1">
      <alignment horizontal="left" vertical="top"/>
    </xf>
    <xf numFmtId="167" fontId="8" fillId="8" borderId="0" xfId="0" applyFont="1" applyFill="1" applyAlignment="1">
      <alignment horizontal="left" vertical="top"/>
    </xf>
    <xf numFmtId="167" fontId="28" fillId="0" borderId="0" xfId="0" applyFont="1" applyAlignment="1">
      <alignment horizontal="left" vertical="top"/>
    </xf>
    <xf numFmtId="167" fontId="9" fillId="0" borderId="0" xfId="0" quotePrefix="1" applyFont="1" applyAlignment="1">
      <alignment horizontal="left" vertical="top"/>
    </xf>
    <xf numFmtId="167" fontId="16" fillId="0" borderId="3" xfId="0" applyFont="1" applyBorder="1" applyAlignment="1">
      <alignment vertical="top"/>
    </xf>
    <xf numFmtId="9" fontId="8" fillId="0" borderId="2" xfId="0" applyNumberFormat="1" applyFont="1" applyBorder="1" applyAlignment="1">
      <alignment horizontal="left" vertical="top"/>
    </xf>
    <xf numFmtId="167" fontId="9" fillId="0" borderId="5" xfId="0" applyFont="1" applyBorder="1" applyAlignment="1">
      <alignment vertical="top"/>
    </xf>
    <xf numFmtId="167" fontId="9" fillId="0" borderId="3" xfId="0" quotePrefix="1" applyFont="1" applyBorder="1" applyAlignment="1">
      <alignment horizontal="left" vertical="top"/>
    </xf>
    <xf numFmtId="167" fontId="16" fillId="0" borderId="0" xfId="0" applyFont="1" applyAlignment="1">
      <alignment vertical="top"/>
    </xf>
    <xf numFmtId="167" fontId="19" fillId="4" borderId="0" xfId="0" applyFont="1" applyFill="1" applyAlignment="1">
      <alignment horizontal="left"/>
    </xf>
    <xf numFmtId="10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0" fontId="16" fillId="0" borderId="0" xfId="0" applyNumberFormat="1" applyFont="1" applyAlignment="1">
      <alignment horizontal="left"/>
    </xf>
    <xf numFmtId="10" fontId="21" fillId="0" borderId="0" xfId="0" applyNumberFormat="1" applyFont="1" applyAlignment="1">
      <alignment horizontal="left"/>
    </xf>
    <xf numFmtId="10" fontId="21" fillId="0" borderId="9" xfId="0" applyNumberFormat="1" applyFont="1" applyBorder="1" applyAlignment="1">
      <alignment horizontal="left"/>
    </xf>
    <xf numFmtId="10" fontId="9" fillId="0" borderId="0" xfId="0" applyNumberFormat="1" applyFont="1" applyAlignment="1">
      <alignment horizontal="left"/>
    </xf>
    <xf numFmtId="10" fontId="9" fillId="0" borderId="0" xfId="1" applyNumberFormat="1" applyFont="1" applyAlignment="1">
      <alignment horizontal="left" vertical="top" wrapText="1"/>
    </xf>
    <xf numFmtId="167" fontId="8" fillId="0" borderId="0" xfId="0" applyFont="1"/>
    <xf numFmtId="167" fontId="34" fillId="0" borderId="0" xfId="0" applyFont="1"/>
    <xf numFmtId="167" fontId="9" fillId="0" borderId="8" xfId="0" applyFont="1" applyBorder="1"/>
    <xf numFmtId="167" fontId="8" fillId="0" borderId="8" xfId="0" applyFont="1" applyBorder="1"/>
    <xf numFmtId="167" fontId="8" fillId="0" borderId="9" xfId="0" applyFont="1" applyBorder="1"/>
    <xf numFmtId="167" fontId="29" fillId="0" borderId="0" xfId="0" applyFont="1"/>
    <xf numFmtId="9" fontId="0" fillId="0" borderId="0" xfId="0" applyNumberFormat="1"/>
    <xf numFmtId="9" fontId="0" fillId="0" borderId="0" xfId="0" applyNumberFormat="1" applyAlignment="1">
      <alignment horizontal="left"/>
    </xf>
    <xf numFmtId="0" fontId="8" fillId="0" borderId="0" xfId="0" applyNumberFormat="1" applyFont="1" applyAlignment="1">
      <alignment vertical="top"/>
    </xf>
    <xf numFmtId="0" fontId="8" fillId="0" borderId="0" xfId="0" applyNumberFormat="1" applyFont="1" applyAlignment="1">
      <alignment horizontal="right" vertical="top"/>
    </xf>
    <xf numFmtId="0" fontId="0" fillId="0" borderId="0" xfId="0" applyNumberFormat="1" applyAlignment="1">
      <alignment vertical="top"/>
    </xf>
    <xf numFmtId="0" fontId="15" fillId="0" borderId="0" xfId="0" applyNumberFormat="1" applyFont="1" applyAlignment="1">
      <alignment vertical="top"/>
    </xf>
    <xf numFmtId="0" fontId="21" fillId="0" borderId="0" xfId="1" applyNumberFormat="1" applyFont="1" applyAlignment="1">
      <alignment horizontal="left" vertical="top"/>
    </xf>
    <xf numFmtId="167" fontId="8" fillId="0" borderId="3" xfId="0" quotePrefix="1" applyFont="1" applyBorder="1" applyAlignment="1">
      <alignment horizontal="left" vertical="top"/>
    </xf>
    <xf numFmtId="10" fontId="9" fillId="0" borderId="0" xfId="0" applyNumberFormat="1" applyFont="1" applyAlignment="1">
      <alignment horizontal="left" vertical="top"/>
    </xf>
    <xf numFmtId="10" fontId="17" fillId="0" borderId="0" xfId="1" applyNumberFormat="1" applyFont="1" applyAlignment="1">
      <alignment horizontal="left" vertical="top"/>
    </xf>
    <xf numFmtId="167" fontId="8" fillId="5" borderId="0" xfId="0" applyFont="1" applyFill="1" applyAlignment="1">
      <alignment horizontal="left" vertical="top"/>
    </xf>
    <xf numFmtId="10" fontId="8" fillId="5" borderId="0" xfId="0" applyNumberFormat="1" applyFont="1" applyFill="1" applyAlignment="1">
      <alignment horizontal="left" vertical="top"/>
    </xf>
    <xf numFmtId="2" fontId="8" fillId="5" borderId="0" xfId="1" applyNumberFormat="1" applyFill="1" applyAlignment="1">
      <alignment horizontal="left" vertical="top"/>
    </xf>
    <xf numFmtId="9" fontId="8" fillId="5" borderId="0" xfId="0" applyNumberFormat="1" applyFont="1" applyFill="1" applyAlignment="1">
      <alignment horizontal="left" vertical="top"/>
    </xf>
    <xf numFmtId="167" fontId="8" fillId="0" borderId="3" xfId="0" applyFont="1" applyBorder="1" applyAlignment="1">
      <alignment horizontal="left" vertical="top"/>
    </xf>
    <xf numFmtId="10" fontId="32" fillId="4" borderId="0" xfId="0" applyNumberFormat="1" applyFont="1" applyFill="1" applyAlignment="1">
      <alignment horizontal="left" vertical="top"/>
    </xf>
    <xf numFmtId="165" fontId="8" fillId="0" borderId="0" xfId="1" quotePrefix="1" applyNumberFormat="1" applyAlignment="1">
      <alignment horizontal="left" vertical="top"/>
    </xf>
    <xf numFmtId="2" fontId="8" fillId="0" borderId="9" xfId="0" applyNumberFormat="1" applyFont="1" applyBorder="1" applyAlignment="1">
      <alignment horizontal="left" vertical="top"/>
    </xf>
    <xf numFmtId="10" fontId="32" fillId="0" borderId="0" xfId="1" quotePrefix="1" applyNumberFormat="1" applyFont="1" applyAlignment="1">
      <alignment horizontal="left" vertical="top"/>
    </xf>
    <xf numFmtId="10" fontId="8" fillId="11" borderId="0" xfId="1" quotePrefix="1" applyNumberFormat="1" applyFill="1" applyAlignment="1">
      <alignment horizontal="left" vertical="top"/>
    </xf>
    <xf numFmtId="10" fontId="8" fillId="11" borderId="0" xfId="1" applyNumberFormat="1" applyFill="1" applyAlignment="1">
      <alignment horizontal="left" vertical="top"/>
    </xf>
    <xf numFmtId="167" fontId="8" fillId="0" borderId="16" xfId="0" applyFont="1" applyBorder="1"/>
    <xf numFmtId="2" fontId="0" fillId="0" borderId="16" xfId="0" applyNumberFormat="1" applyBorder="1" applyAlignment="1">
      <alignment horizontal="left"/>
    </xf>
    <xf numFmtId="10" fontId="9" fillId="0" borderId="16" xfId="0" applyNumberFormat="1" applyFont="1" applyBorder="1" applyAlignment="1">
      <alignment horizontal="left"/>
    </xf>
    <xf numFmtId="10" fontId="0" fillId="0" borderId="16" xfId="0" applyNumberFormat="1" applyBorder="1" applyAlignment="1">
      <alignment horizontal="left"/>
    </xf>
    <xf numFmtId="9" fontId="0" fillId="0" borderId="0" xfId="1" applyFont="1" applyAlignment="1">
      <alignment horizontal="left"/>
    </xf>
    <xf numFmtId="167" fontId="9" fillId="0" borderId="0" xfId="0" applyFont="1"/>
    <xf numFmtId="9" fontId="0" fillId="0" borderId="9" xfId="0" applyNumberFormat="1" applyBorder="1" applyAlignment="1">
      <alignment horizontal="left"/>
    </xf>
    <xf numFmtId="10" fontId="9" fillId="0" borderId="0" xfId="1" applyNumberFormat="1" applyFont="1" applyAlignment="1">
      <alignment horizontal="left"/>
    </xf>
    <xf numFmtId="10" fontId="8" fillId="0" borderId="0" xfId="1" applyNumberFormat="1" applyAlignment="1">
      <alignment horizontal="left"/>
    </xf>
    <xf numFmtId="167" fontId="16" fillId="14" borderId="3" xfId="0" applyFont="1" applyFill="1" applyBorder="1" applyAlignment="1">
      <alignment vertical="top"/>
    </xf>
    <xf numFmtId="9" fontId="8" fillId="0" borderId="13" xfId="1" applyBorder="1" applyAlignment="1">
      <alignment horizontal="left" vertical="top"/>
    </xf>
    <xf numFmtId="9" fontId="8" fillId="10" borderId="13" xfId="1" applyFill="1" applyBorder="1" applyAlignment="1">
      <alignment horizontal="left" vertical="top"/>
    </xf>
    <xf numFmtId="10" fontId="14" fillId="0" borderId="0" xfId="0" applyNumberFormat="1" applyFont="1" applyAlignment="1">
      <alignment horizontal="left"/>
    </xf>
    <xf numFmtId="2" fontId="14" fillId="0" borderId="16" xfId="0" applyNumberFormat="1" applyFont="1" applyBorder="1" applyAlignment="1">
      <alignment horizontal="left"/>
    </xf>
    <xf numFmtId="2" fontId="14" fillId="0" borderId="0" xfId="0" applyNumberFormat="1" applyFont="1" applyAlignment="1">
      <alignment horizontal="left"/>
    </xf>
    <xf numFmtId="166" fontId="44" fillId="0" borderId="9" xfId="1" applyNumberFormat="1" applyFont="1" applyBorder="1" applyAlignment="1">
      <alignment horizontal="left"/>
    </xf>
    <xf numFmtId="10" fontId="44" fillId="0" borderId="0" xfId="1" applyNumberFormat="1" applyFont="1" applyAlignment="1">
      <alignment horizontal="left"/>
    </xf>
    <xf numFmtId="10" fontId="44" fillId="0" borderId="16" xfId="1" applyNumberFormat="1" applyFont="1" applyBorder="1" applyAlignment="1">
      <alignment horizontal="left"/>
    </xf>
    <xf numFmtId="10" fontId="14" fillId="0" borderId="0" xfId="1" applyNumberFormat="1" applyFont="1" applyAlignment="1">
      <alignment horizontal="left"/>
    </xf>
    <xf numFmtId="167" fontId="14" fillId="0" borderId="0" xfId="0" applyFont="1"/>
    <xf numFmtId="167" fontId="8" fillId="0" borderId="6" xfId="0" applyFont="1" applyBorder="1" applyAlignment="1">
      <alignment horizontal="left" indent="1"/>
    </xf>
    <xf numFmtId="167" fontId="0" fillId="0" borderId="6" xfId="0" applyBorder="1" applyAlignment="1">
      <alignment horizontal="left" indent="1"/>
    </xf>
    <xf numFmtId="10" fontId="9" fillId="0" borderId="6" xfId="1" applyNumberFormat="1" applyFont="1" applyBorder="1" applyAlignment="1">
      <alignment horizontal="left" indent="1"/>
    </xf>
    <xf numFmtId="167" fontId="14" fillId="0" borderId="6" xfId="0" applyFont="1" applyBorder="1" applyAlignment="1">
      <alignment horizontal="left" indent="1"/>
    </xf>
    <xf numFmtId="10" fontId="8" fillId="0" borderId="6" xfId="1" applyNumberFormat="1" applyBorder="1" applyAlignment="1">
      <alignment horizontal="left" indent="1"/>
    </xf>
    <xf numFmtId="167" fontId="21" fillId="0" borderId="0" xfId="0" applyFont="1" applyAlignment="1">
      <alignment horizontal="left" vertical="top"/>
    </xf>
    <xf numFmtId="166" fontId="0" fillId="0" borderId="0" xfId="0" applyNumberFormat="1" applyAlignment="1">
      <alignment horizontal="left"/>
    </xf>
    <xf numFmtId="167" fontId="21" fillId="0" borderId="0" xfId="0" applyFont="1" applyAlignment="1">
      <alignment horizontal="right"/>
    </xf>
    <xf numFmtId="1" fontId="21" fillId="0" borderId="0" xfId="0" applyNumberFormat="1" applyFont="1" applyAlignment="1">
      <alignment horizontal="left"/>
    </xf>
    <xf numFmtId="9" fontId="8" fillId="0" borderId="9" xfId="0" applyNumberFormat="1" applyFont="1" applyBorder="1" applyAlignment="1">
      <alignment horizontal="left"/>
    </xf>
    <xf numFmtId="2" fontId="15" fillId="0" borderId="0" xfId="0" applyNumberFormat="1" applyFont="1" applyAlignment="1">
      <alignment horizontal="left"/>
    </xf>
    <xf numFmtId="167" fontId="28" fillId="0" borderId="0" xfId="0" quotePrefix="1" applyFont="1" applyAlignment="1">
      <alignment horizontal="left" vertical="top"/>
    </xf>
    <xf numFmtId="2" fontId="28" fillId="0" borderId="0" xfId="0" applyNumberFormat="1" applyFont="1" applyAlignment="1">
      <alignment horizontal="left" vertical="top"/>
    </xf>
    <xf numFmtId="167" fontId="8" fillId="8" borderId="8" xfId="0" applyFont="1" applyFill="1" applyBorder="1" applyAlignment="1">
      <alignment horizontal="left" vertical="top"/>
    </xf>
    <xf numFmtId="0" fontId="8" fillId="0" borderId="0" xfId="0" applyNumberFormat="1" applyFont="1" applyAlignment="1">
      <alignment horizontal="left" vertical="top"/>
    </xf>
    <xf numFmtId="0" fontId="26" fillId="0" borderId="0" xfId="0" applyNumberFormat="1" applyFont="1" applyAlignment="1">
      <alignment horizontal="left" vertical="top"/>
    </xf>
    <xf numFmtId="0" fontId="40" fillId="8" borderId="2" xfId="0" applyNumberFormat="1" applyFont="1" applyFill="1" applyBorder="1"/>
    <xf numFmtId="167" fontId="9" fillId="0" borderId="3" xfId="0" applyFont="1" applyBorder="1" applyAlignment="1">
      <alignment horizontal="left" vertical="top"/>
    </xf>
    <xf numFmtId="167" fontId="11" fillId="0" borderId="0" xfId="0" applyFont="1" applyAlignment="1">
      <alignment vertical="top"/>
    </xf>
    <xf numFmtId="167" fontId="12" fillId="0" borderId="0" xfId="0" applyFont="1" applyAlignment="1">
      <alignment vertical="top"/>
    </xf>
    <xf numFmtId="0" fontId="16" fillId="0" borderId="0" xfId="0" applyNumberFormat="1" applyFont="1" applyAlignment="1">
      <alignment vertical="top"/>
    </xf>
    <xf numFmtId="0" fontId="41" fillId="0" borderId="0" xfId="0" applyNumberFormat="1" applyFont="1"/>
    <xf numFmtId="0" fontId="27" fillId="0" borderId="0" xfId="0" applyNumberFormat="1" applyFont="1"/>
    <xf numFmtId="9" fontId="41" fillId="7" borderId="12" xfId="0" applyNumberFormat="1" applyFont="1" applyFill="1" applyBorder="1" applyAlignment="1">
      <alignment horizontal="left"/>
    </xf>
    <xf numFmtId="9" fontId="41" fillId="7" borderId="24" xfId="0" applyNumberFormat="1" applyFont="1" applyFill="1" applyBorder="1" applyAlignment="1">
      <alignment horizontal="left"/>
    </xf>
    <xf numFmtId="9" fontId="41" fillId="7" borderId="25" xfId="0" applyNumberFormat="1" applyFont="1" applyFill="1" applyBorder="1" applyAlignment="1">
      <alignment horizontal="left"/>
    </xf>
    <xf numFmtId="9" fontId="41" fillId="15" borderId="23" xfId="1" applyFont="1" applyFill="1" applyBorder="1" applyAlignment="1">
      <alignment horizontal="left"/>
    </xf>
    <xf numFmtId="9" fontId="41" fillId="15" borderId="15" xfId="1" applyFont="1" applyFill="1" applyBorder="1" applyAlignment="1">
      <alignment horizontal="left"/>
    </xf>
    <xf numFmtId="9" fontId="41" fillId="15" borderId="26" xfId="1" applyFont="1" applyFill="1" applyBorder="1" applyAlignment="1">
      <alignment horizontal="left"/>
    </xf>
    <xf numFmtId="0" fontId="40" fillId="0" borderId="3" xfId="0" applyNumberFormat="1" applyFont="1" applyBorder="1"/>
    <xf numFmtId="9" fontId="8" fillId="3" borderId="13" xfId="1" applyFill="1" applyBorder="1" applyAlignment="1">
      <alignment horizontal="left" vertical="top"/>
    </xf>
    <xf numFmtId="0" fontId="15" fillId="0" borderId="0" xfId="0" applyNumberFormat="1" applyFont="1" applyAlignment="1">
      <alignment horizontal="left"/>
    </xf>
    <xf numFmtId="10" fontId="48" fillId="8" borderId="8" xfId="0" applyNumberFormat="1" applyFont="1" applyFill="1" applyBorder="1" applyAlignment="1">
      <alignment horizontal="left" vertical="top"/>
    </xf>
    <xf numFmtId="167" fontId="21" fillId="0" borderId="6" xfId="0" applyFont="1" applyBorder="1" applyAlignment="1">
      <alignment horizontal="left" vertical="top"/>
    </xf>
    <xf numFmtId="9" fontId="8" fillId="6" borderId="27" xfId="1" applyFill="1" applyBorder="1" applyAlignment="1">
      <alignment horizontal="left" vertical="top"/>
    </xf>
    <xf numFmtId="9" fontId="11" fillId="0" borderId="6" xfId="0" applyNumberFormat="1" applyFont="1" applyBorder="1" applyAlignment="1">
      <alignment horizontal="left" vertical="top"/>
    </xf>
    <xf numFmtId="0" fontId="8" fillId="0" borderId="6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horizontal="left" vertical="top"/>
    </xf>
    <xf numFmtId="167" fontId="14" fillId="0" borderId="3" xfId="0" applyFont="1" applyBorder="1" applyAlignment="1">
      <alignment horizontal="left" vertical="top" indent="1"/>
    </xf>
    <xf numFmtId="2" fontId="8" fillId="3" borderId="28" xfId="0" applyNumberFormat="1" applyFont="1" applyFill="1" applyBorder="1" applyAlignment="1">
      <alignment horizontal="left" vertical="top"/>
    </xf>
    <xf numFmtId="2" fontId="8" fillId="0" borderId="28" xfId="0" applyNumberFormat="1" applyFont="1" applyBorder="1" applyAlignment="1">
      <alignment horizontal="left" vertical="top"/>
    </xf>
    <xf numFmtId="2" fontId="8" fillId="3" borderId="29" xfId="0" applyNumberFormat="1" applyFont="1" applyFill="1" applyBorder="1" applyAlignment="1">
      <alignment horizontal="left" vertical="top"/>
    </xf>
    <xf numFmtId="167" fontId="9" fillId="8" borderId="2" xfId="0" applyFont="1" applyFill="1" applyBorder="1" applyAlignment="1">
      <alignment horizontal="left" vertical="top"/>
    </xf>
    <xf numFmtId="9" fontId="8" fillId="10" borderId="23" xfId="1" applyFill="1" applyBorder="1" applyAlignment="1">
      <alignment horizontal="left" vertical="top"/>
    </xf>
    <xf numFmtId="10" fontId="32" fillId="9" borderId="0" xfId="1" quotePrefix="1" applyNumberFormat="1" applyFont="1" applyFill="1" applyAlignment="1">
      <alignment horizontal="left" vertical="top"/>
    </xf>
    <xf numFmtId="0" fontId="21" fillId="0" borderId="9" xfId="1" applyNumberFormat="1" applyFont="1" applyBorder="1" applyAlignment="1">
      <alignment horizontal="left" vertical="top"/>
    </xf>
    <xf numFmtId="167" fontId="8" fillId="11" borderId="0" xfId="0" applyFont="1" applyFill="1" applyAlignment="1">
      <alignment horizontal="left" vertical="top"/>
    </xf>
    <xf numFmtId="167" fontId="19" fillId="9" borderId="0" xfId="0" applyFont="1" applyFill="1" applyAlignment="1">
      <alignment horizontal="left" vertical="top"/>
    </xf>
    <xf numFmtId="10" fontId="3" fillId="0" borderId="0" xfId="1" quotePrefix="1" applyNumberFormat="1" applyFont="1" applyAlignment="1">
      <alignment horizontal="left" vertical="top" indent="1"/>
    </xf>
    <xf numFmtId="10" fontId="19" fillId="9" borderId="0" xfId="1" quotePrefix="1" applyNumberFormat="1" applyFont="1" applyFill="1" applyAlignment="1">
      <alignment horizontal="left" vertical="top"/>
    </xf>
    <xf numFmtId="2" fontId="8" fillId="8" borderId="17" xfId="0" applyNumberFormat="1" applyFont="1" applyFill="1" applyBorder="1" applyAlignment="1">
      <alignment horizontal="left" vertical="top"/>
    </xf>
    <xf numFmtId="2" fontId="8" fillId="6" borderId="28" xfId="0" applyNumberFormat="1" applyFont="1" applyFill="1" applyBorder="1" applyAlignment="1">
      <alignment horizontal="left" vertical="top"/>
    </xf>
    <xf numFmtId="2" fontId="16" fillId="0" borderId="0" xfId="0" applyNumberFormat="1" applyFont="1" applyAlignment="1">
      <alignment horizontal="left" vertical="top"/>
    </xf>
    <xf numFmtId="0" fontId="49" fillId="0" borderId="0" xfId="0" applyNumberFormat="1" applyFont="1" applyAlignment="1">
      <alignment horizontal="left" vertical="top"/>
    </xf>
    <xf numFmtId="167" fontId="8" fillId="8" borderId="7" xfId="0" applyFont="1" applyFill="1" applyBorder="1" applyAlignment="1">
      <alignment horizontal="left" vertical="top"/>
    </xf>
    <xf numFmtId="167" fontId="8" fillId="0" borderId="3" xfId="0" applyFont="1" applyBorder="1" applyAlignment="1">
      <alignment horizontal="left" vertical="top" indent="1"/>
    </xf>
    <xf numFmtId="167" fontId="8" fillId="0" borderId="3" xfId="0" applyFont="1" applyBorder="1" applyAlignment="1">
      <alignment vertical="top"/>
    </xf>
    <xf numFmtId="167" fontId="14" fillId="0" borderId="3" xfId="0" applyFont="1" applyBorder="1" applyAlignment="1">
      <alignment vertical="top"/>
    </xf>
    <xf numFmtId="167" fontId="15" fillId="0" borderId="3" xfId="0" applyFont="1" applyBorder="1" applyAlignment="1">
      <alignment vertical="top"/>
    </xf>
    <xf numFmtId="167" fontId="13" fillId="0" borderId="3" xfId="0" applyFont="1" applyBorder="1" applyAlignment="1">
      <alignment horizontal="left" vertical="top"/>
    </xf>
    <xf numFmtId="167" fontId="13" fillId="0" borderId="3" xfId="0" applyFont="1" applyBorder="1" applyAlignment="1">
      <alignment vertical="top"/>
    </xf>
    <xf numFmtId="0" fontId="8" fillId="0" borderId="3" xfId="0" applyNumberFormat="1" applyFont="1" applyBorder="1" applyAlignment="1">
      <alignment vertical="top"/>
    </xf>
    <xf numFmtId="167" fontId="9" fillId="8" borderId="3" xfId="0" applyFont="1" applyFill="1" applyBorder="1" applyAlignment="1">
      <alignment vertical="top"/>
    </xf>
    <xf numFmtId="167" fontId="9" fillId="8" borderId="7" xfId="0" applyFont="1" applyFill="1" applyBorder="1" applyAlignment="1">
      <alignment vertical="top"/>
    </xf>
    <xf numFmtId="2" fontId="9" fillId="8" borderId="10" xfId="0" applyNumberFormat="1" applyFont="1" applyFill="1" applyBorder="1" applyAlignment="1">
      <alignment horizontal="left" vertical="top"/>
    </xf>
    <xf numFmtId="167" fontId="8" fillId="0" borderId="3" xfId="0" applyFont="1" applyBorder="1" applyAlignment="1">
      <alignment horizontal="right" vertical="top"/>
    </xf>
    <xf numFmtId="167" fontId="9" fillId="8" borderId="3" xfId="0" applyFont="1" applyFill="1" applyBorder="1" applyAlignment="1">
      <alignment horizontal="left" vertical="top"/>
    </xf>
    <xf numFmtId="167" fontId="8" fillId="0" borderId="0" xfId="0" applyFont="1" applyAlignment="1">
      <alignment horizontal="left" vertical="top" indent="1"/>
    </xf>
    <xf numFmtId="10" fontId="8" fillId="7" borderId="2" xfId="1" applyNumberFormat="1" applyFill="1" applyBorder="1" applyAlignment="1">
      <alignment horizontal="left" vertical="top"/>
    </xf>
    <xf numFmtId="10" fontId="15" fillId="8" borderId="7" xfId="0" applyNumberFormat="1" applyFont="1" applyFill="1" applyBorder="1" applyAlignment="1">
      <alignment horizontal="left" vertical="top"/>
    </xf>
    <xf numFmtId="9" fontId="14" fillId="0" borderId="9" xfId="0" applyNumberFormat="1" applyFont="1" applyBorder="1" applyAlignment="1">
      <alignment horizontal="left" vertical="top" indent="1"/>
    </xf>
    <xf numFmtId="166" fontId="21" fillId="0" borderId="0" xfId="1" applyNumberFormat="1" applyFont="1" applyAlignment="1">
      <alignment horizontal="left" vertical="top" indent="1"/>
    </xf>
    <xf numFmtId="0" fontId="21" fillId="0" borderId="6" xfId="1" applyNumberFormat="1" applyFont="1" applyBorder="1" applyAlignment="1">
      <alignment horizontal="left" vertical="top"/>
    </xf>
    <xf numFmtId="167" fontId="8" fillId="11" borderId="0" xfId="0" applyFont="1" applyFill="1" applyAlignment="1">
      <alignment vertical="top"/>
    </xf>
    <xf numFmtId="2" fontId="14" fillId="0" borderId="9" xfId="0" applyNumberFormat="1" applyFont="1" applyBorder="1" applyAlignment="1">
      <alignment horizontal="left" vertical="top" indent="1"/>
    </xf>
    <xf numFmtId="2" fontId="8" fillId="0" borderId="0" xfId="0" applyNumberFormat="1" applyFont="1" applyAlignment="1">
      <alignment horizontal="left" vertical="top" indent="1"/>
    </xf>
    <xf numFmtId="167" fontId="16" fillId="0" borderId="3" xfId="0" applyFont="1" applyBorder="1" applyAlignment="1">
      <alignment horizontal="left" vertical="top" indent="1"/>
    </xf>
    <xf numFmtId="2" fontId="16" fillId="0" borderId="0" xfId="0" applyNumberFormat="1" applyFont="1" applyAlignment="1">
      <alignment horizontal="left" vertical="top" indent="1"/>
    </xf>
    <xf numFmtId="167" fontId="35" fillId="0" borderId="3" xfId="0" applyFont="1" applyBorder="1" applyAlignment="1">
      <alignment horizontal="left" vertical="top" indent="1"/>
    </xf>
    <xf numFmtId="167" fontId="14" fillId="0" borderId="0" xfId="0" quotePrefix="1" applyFont="1" applyAlignment="1">
      <alignment vertical="top"/>
    </xf>
    <xf numFmtId="167" fontId="0" fillId="0" borderId="0" xfId="0" applyAlignment="1">
      <alignment horizontal="left" vertical="top" indent="1"/>
    </xf>
    <xf numFmtId="0" fontId="8" fillId="0" borderId="0" xfId="0" applyNumberFormat="1" applyFont="1" applyAlignment="1">
      <alignment horizontal="left" vertical="top" indent="1"/>
    </xf>
    <xf numFmtId="167" fontId="12" fillId="0" borderId="0" xfId="0" applyFont="1" applyAlignment="1">
      <alignment horizontal="left" vertical="top" indent="1"/>
    </xf>
    <xf numFmtId="10" fontId="8" fillId="3" borderId="0" xfId="1" quotePrefix="1" applyNumberFormat="1" applyFill="1" applyAlignment="1">
      <alignment horizontal="left" vertical="top"/>
    </xf>
    <xf numFmtId="167" fontId="8" fillId="3" borderId="14" xfId="0" applyFont="1" applyFill="1" applyBorder="1" applyAlignment="1">
      <alignment horizontal="left" vertical="top"/>
    </xf>
    <xf numFmtId="167" fontId="8" fillId="6" borderId="14" xfId="0" applyFont="1" applyFill="1" applyBorder="1" applyAlignment="1">
      <alignment horizontal="left" vertical="top"/>
    </xf>
    <xf numFmtId="167" fontId="8" fillId="0" borderId="14" xfId="0" applyFont="1" applyBorder="1" applyAlignment="1">
      <alignment horizontal="left" vertical="top"/>
    </xf>
    <xf numFmtId="167" fontId="8" fillId="3" borderId="18" xfId="0" applyFont="1" applyFill="1" applyBorder="1" applyAlignment="1">
      <alignment horizontal="left" vertical="top"/>
    </xf>
    <xf numFmtId="2" fontId="55" fillId="0" borderId="0" xfId="0" applyNumberFormat="1" applyFont="1" applyAlignment="1">
      <alignment horizontal="left" vertical="top"/>
    </xf>
    <xf numFmtId="2" fontId="9" fillId="0" borderId="9" xfId="0" applyNumberFormat="1" applyFont="1" applyBorder="1" applyAlignment="1">
      <alignment horizontal="left" vertical="top"/>
    </xf>
    <xf numFmtId="0" fontId="8" fillId="0" borderId="6" xfId="0" applyNumberFormat="1" applyFont="1" applyBorder="1" applyAlignment="1">
      <alignment vertical="top"/>
    </xf>
    <xf numFmtId="167" fontId="32" fillId="9" borderId="0" xfId="0" applyFont="1" applyFill="1" applyAlignment="1">
      <alignment horizontal="left" vertical="top"/>
    </xf>
    <xf numFmtId="1" fontId="28" fillId="0" borderId="0" xfId="1" applyNumberFormat="1" applyFont="1" applyAlignment="1">
      <alignment horizontal="right" vertical="top"/>
    </xf>
    <xf numFmtId="0" fontId="8" fillId="0" borderId="0" xfId="0" applyNumberFormat="1" applyFont="1" applyAlignment="1">
      <alignment horizontal="right" vertical="top" indent="1"/>
    </xf>
    <xf numFmtId="2" fontId="8" fillId="0" borderId="30" xfId="0" applyNumberFormat="1" applyFont="1" applyBorder="1" applyAlignment="1">
      <alignment horizontal="left" vertical="top"/>
    </xf>
    <xf numFmtId="2" fontId="16" fillId="0" borderId="31" xfId="0" applyNumberFormat="1" applyFont="1" applyBorder="1" applyAlignment="1">
      <alignment horizontal="left" vertical="top"/>
    </xf>
    <xf numFmtId="9" fontId="41" fillId="7" borderId="30" xfId="0" applyNumberFormat="1" applyFont="1" applyFill="1" applyBorder="1" applyAlignment="1">
      <alignment horizontal="left"/>
    </xf>
    <xf numFmtId="9" fontId="41" fillId="15" borderId="32" xfId="1" applyFont="1" applyFill="1" applyBorder="1" applyAlignment="1">
      <alignment horizontal="left"/>
    </xf>
    <xf numFmtId="1" fontId="8" fillId="0" borderId="3" xfId="0" applyNumberFormat="1" applyFont="1" applyBorder="1" applyAlignment="1">
      <alignment horizontal="left" vertical="top"/>
    </xf>
    <xf numFmtId="1" fontId="8" fillId="0" borderId="19" xfId="0" applyNumberFormat="1" applyFont="1" applyBorder="1" applyAlignment="1">
      <alignment horizontal="left" vertical="top"/>
    </xf>
    <xf numFmtId="1" fontId="27" fillId="0" borderId="3" xfId="0" applyNumberFormat="1" applyFont="1" applyBorder="1" applyAlignment="1">
      <alignment horizontal="left" vertical="top"/>
    </xf>
    <xf numFmtId="1" fontId="27" fillId="0" borderId="5" xfId="0" applyNumberFormat="1" applyFont="1" applyBorder="1" applyAlignment="1">
      <alignment horizontal="left" vertical="top"/>
    </xf>
    <xf numFmtId="1" fontId="8" fillId="3" borderId="2" xfId="0" applyNumberFormat="1" applyFont="1" applyFill="1" applyBorder="1" applyAlignment="1">
      <alignment horizontal="left" vertical="top"/>
    </xf>
    <xf numFmtId="1" fontId="8" fillId="0" borderId="2" xfId="0" applyNumberFormat="1" applyFont="1" applyBorder="1" applyAlignment="1">
      <alignment horizontal="left" vertical="top"/>
    </xf>
    <xf numFmtId="1" fontId="15" fillId="0" borderId="0" xfId="0" applyNumberFormat="1" applyFont="1" applyAlignment="1">
      <alignment horizontal="left" vertical="top" indent="1"/>
    </xf>
    <xf numFmtId="10" fontId="9" fillId="0" borderId="0" xfId="1" applyNumberFormat="1" applyFont="1" applyAlignment="1">
      <alignment horizontal="left" vertical="top"/>
    </xf>
    <xf numFmtId="0" fontId="8" fillId="0" borderId="0" xfId="0" quotePrefix="1" applyNumberFormat="1" applyFont="1" applyAlignment="1">
      <alignment horizontal="left" vertical="top"/>
    </xf>
    <xf numFmtId="9" fontId="25" fillId="0" borderId="0" xfId="0" applyNumberFormat="1" applyFont="1" applyAlignment="1">
      <alignment horizontal="left" vertical="top"/>
    </xf>
    <xf numFmtId="0" fontId="25" fillId="0" borderId="0" xfId="0" applyNumberFormat="1" applyFont="1" applyAlignment="1">
      <alignment horizontal="left" vertical="top"/>
    </xf>
    <xf numFmtId="2" fontId="8" fillId="0" borderId="0" xfId="1" applyNumberFormat="1" applyAlignment="1">
      <alignment horizontal="left" vertical="top"/>
    </xf>
    <xf numFmtId="167" fontId="25" fillId="0" borderId="0" xfId="0" quotePrefix="1" applyFont="1" applyAlignment="1">
      <alignment horizontal="left" vertical="top"/>
    </xf>
    <xf numFmtId="4" fontId="8" fillId="0" borderId="0" xfId="1" quotePrefix="1" applyNumberFormat="1" applyAlignment="1">
      <alignment horizontal="left" vertical="top"/>
    </xf>
    <xf numFmtId="165" fontId="8" fillId="0" borderId="0" xfId="1" applyNumberFormat="1" applyAlignment="1">
      <alignment horizontal="left" vertical="top"/>
    </xf>
    <xf numFmtId="167" fontId="51" fillId="0" borderId="0" xfId="0" quotePrefix="1" applyFont="1" applyAlignment="1">
      <alignment horizontal="right" vertical="top" indent="1"/>
    </xf>
    <xf numFmtId="10" fontId="8" fillId="0" borderId="0" xfId="0" applyNumberFormat="1" applyFont="1" applyAlignment="1">
      <alignment horizontal="left" vertical="top" indent="1"/>
    </xf>
    <xf numFmtId="10" fontId="8" fillId="8" borderId="0" xfId="0" applyNumberFormat="1" applyFont="1" applyFill="1" applyAlignment="1">
      <alignment horizontal="left" vertical="top"/>
    </xf>
    <xf numFmtId="166" fontId="8" fillId="8" borderId="0" xfId="0" applyNumberFormat="1" applyFont="1" applyFill="1" applyAlignment="1">
      <alignment horizontal="left" vertical="top"/>
    </xf>
    <xf numFmtId="9" fontId="8" fillId="8" borderId="0" xfId="0" applyNumberFormat="1" applyFont="1" applyFill="1" applyAlignment="1">
      <alignment horizontal="left" vertical="top"/>
    </xf>
    <xf numFmtId="10" fontId="8" fillId="8" borderId="0" xfId="0" applyNumberFormat="1" applyFont="1" applyFill="1" applyAlignment="1">
      <alignment horizontal="left" vertical="top" indent="1"/>
    </xf>
    <xf numFmtId="2" fontId="8" fillId="0" borderId="0" xfId="1" applyNumberFormat="1" applyAlignment="1">
      <alignment horizontal="left" vertical="top" indent="1"/>
    </xf>
    <xf numFmtId="2" fontId="14" fillId="0" borderId="0" xfId="1" applyNumberFormat="1" applyFont="1" applyAlignment="1">
      <alignment horizontal="left" vertical="top" indent="1"/>
    </xf>
    <xf numFmtId="2" fontId="25" fillId="0" borderId="0" xfId="1" applyNumberFormat="1" applyFont="1" applyAlignment="1">
      <alignment horizontal="left" vertical="top" indent="1"/>
    </xf>
    <xf numFmtId="10" fontId="8" fillId="0" borderId="0" xfId="1" quotePrefix="1" applyNumberFormat="1" applyAlignment="1">
      <alignment horizontal="left" vertical="top" indent="1"/>
    </xf>
    <xf numFmtId="10" fontId="8" fillId="0" borderId="0" xfId="1" applyNumberFormat="1" applyAlignment="1">
      <alignment horizontal="left" vertical="top" indent="1"/>
    </xf>
    <xf numFmtId="166" fontId="8" fillId="11" borderId="0" xfId="0" applyNumberFormat="1" applyFont="1" applyFill="1" applyAlignment="1">
      <alignment horizontal="left" vertical="top"/>
    </xf>
    <xf numFmtId="10" fontId="9" fillId="11" borderId="0" xfId="0" applyNumberFormat="1" applyFont="1" applyFill="1" applyAlignment="1">
      <alignment horizontal="left" vertical="top"/>
    </xf>
    <xf numFmtId="10" fontId="8" fillId="11" borderId="0" xfId="0" applyNumberFormat="1" applyFont="1" applyFill="1" applyAlignment="1">
      <alignment horizontal="left" vertical="top"/>
    </xf>
    <xf numFmtId="165" fontId="55" fillId="0" borderId="0" xfId="0" applyNumberFormat="1" applyFont="1" applyAlignment="1">
      <alignment horizontal="left" vertical="top" indent="1"/>
    </xf>
    <xf numFmtId="2" fontId="8" fillId="11" borderId="0" xfId="1" applyNumberFormat="1" applyFill="1" applyAlignment="1">
      <alignment horizontal="left" vertical="top"/>
    </xf>
    <xf numFmtId="2" fontId="8" fillId="8" borderId="0" xfId="1" applyNumberFormat="1" applyFill="1" applyAlignment="1">
      <alignment horizontal="left" vertical="top"/>
    </xf>
    <xf numFmtId="9" fontId="14" fillId="0" borderId="0" xfId="0" applyNumberFormat="1" applyFont="1" applyAlignment="1">
      <alignment horizontal="left"/>
    </xf>
    <xf numFmtId="166" fontId="44" fillId="0" borderId="0" xfId="1" applyNumberFormat="1" applyFont="1" applyAlignment="1">
      <alignment horizontal="left"/>
    </xf>
    <xf numFmtId="167" fontId="14" fillId="0" borderId="0" xfId="0" applyFont="1" applyAlignment="1">
      <alignment horizontal="left" indent="1"/>
    </xf>
    <xf numFmtId="1" fontId="9" fillId="0" borderId="0" xfId="0" applyNumberFormat="1" applyFont="1" applyAlignment="1">
      <alignment horizontal="left"/>
    </xf>
    <xf numFmtId="167" fontId="8" fillId="0" borderId="0" xfId="0" applyFont="1" applyAlignment="1">
      <alignment horizontal="left" indent="1"/>
    </xf>
    <xf numFmtId="2" fontId="0" fillId="0" borderId="0" xfId="0" applyNumberFormat="1" applyAlignment="1">
      <alignment horizontal="left" indent="1"/>
    </xf>
    <xf numFmtId="2" fontId="14" fillId="0" borderId="0" xfId="0" applyNumberFormat="1" applyFont="1" applyAlignment="1">
      <alignment horizontal="left" indent="1"/>
    </xf>
    <xf numFmtId="166" fontId="0" fillId="0" borderId="9" xfId="0" applyNumberFormat="1" applyBorder="1" applyAlignment="1">
      <alignment horizontal="left"/>
    </xf>
    <xf numFmtId="166" fontId="9" fillId="0" borderId="9" xfId="0" applyNumberFormat="1" applyFont="1" applyBorder="1" applyAlignment="1">
      <alignment horizontal="left"/>
    </xf>
    <xf numFmtId="166" fontId="9" fillId="0" borderId="0" xfId="0" applyNumberFormat="1" applyFont="1" applyAlignment="1">
      <alignment horizontal="left"/>
    </xf>
    <xf numFmtId="10" fontId="9" fillId="0" borderId="16" xfId="1" applyNumberFormat="1" applyFont="1" applyBorder="1" applyAlignment="1">
      <alignment horizontal="left"/>
    </xf>
    <xf numFmtId="10" fontId="9" fillId="0" borderId="6" xfId="1" applyNumberFormat="1" applyFont="1" applyBorder="1"/>
    <xf numFmtId="167" fontId="14" fillId="0" borderId="0" xfId="0" applyFont="1" applyAlignment="1">
      <alignment horizontal="left"/>
    </xf>
    <xf numFmtId="10" fontId="56" fillId="0" borderId="0" xfId="1" applyNumberFormat="1" applyFont="1" applyAlignment="1">
      <alignment horizontal="right" vertical="top" indent="1"/>
    </xf>
    <xf numFmtId="0" fontId="18" fillId="0" borderId="0" xfId="15" applyFont="1" applyAlignment="1">
      <alignment vertical="center"/>
    </xf>
    <xf numFmtId="0" fontId="18" fillId="0" borderId="0" xfId="15" applyFont="1" applyAlignment="1">
      <alignment horizontal="left" vertical="center"/>
    </xf>
    <xf numFmtId="0" fontId="18" fillId="16" borderId="36" xfId="15" applyFont="1" applyFill="1" applyBorder="1" applyAlignment="1">
      <alignment vertical="center"/>
    </xf>
    <xf numFmtId="0" fontId="18" fillId="17" borderId="37" xfId="15" applyFont="1" applyFill="1" applyBorder="1" applyAlignment="1">
      <alignment vertical="center"/>
    </xf>
    <xf numFmtId="0" fontId="18" fillId="16" borderId="38" xfId="15" applyFont="1" applyFill="1" applyBorder="1" applyAlignment="1">
      <alignment vertical="center"/>
    </xf>
    <xf numFmtId="0" fontId="18" fillId="0" borderId="39" xfId="15" applyFont="1" applyBorder="1" applyAlignment="1">
      <alignment vertical="center"/>
    </xf>
    <xf numFmtId="0" fontId="18" fillId="0" borderId="40" xfId="15" applyFont="1" applyBorder="1" applyAlignment="1">
      <alignment vertical="center"/>
    </xf>
    <xf numFmtId="0" fontId="18" fillId="0" borderId="41" xfId="15" applyFont="1" applyBorder="1" applyAlignment="1">
      <alignment vertical="center"/>
    </xf>
    <xf numFmtId="0" fontId="58" fillId="0" borderId="42" xfId="16" applyFont="1" applyBorder="1" applyAlignment="1" applyProtection="1">
      <alignment horizontal="left" vertical="center"/>
    </xf>
    <xf numFmtId="0" fontId="18" fillId="0" borderId="43" xfId="15" applyFont="1" applyBorder="1" applyAlignment="1">
      <alignment vertical="center"/>
    </xf>
    <xf numFmtId="0" fontId="18" fillId="0" borderId="44" xfId="15" applyFont="1" applyBorder="1" applyAlignment="1">
      <alignment vertical="center"/>
    </xf>
    <xf numFmtId="0" fontId="18" fillId="0" borderId="45" xfId="15" applyFont="1" applyBorder="1" applyAlignment="1">
      <alignment vertical="center"/>
    </xf>
    <xf numFmtId="0" fontId="18" fillId="0" borderId="42" xfId="15" applyFont="1" applyBorder="1" applyAlignment="1">
      <alignment horizontal="left" vertical="center"/>
    </xf>
    <xf numFmtId="0" fontId="18" fillId="0" borderId="46" xfId="15" applyFont="1" applyBorder="1" applyAlignment="1">
      <alignment vertical="center"/>
    </xf>
    <xf numFmtId="0" fontId="58" fillId="0" borderId="0" xfId="16" applyFont="1" applyAlignment="1" applyProtection="1">
      <alignment horizontal="left" vertical="center"/>
    </xf>
    <xf numFmtId="0" fontId="18" fillId="0" borderId="47" xfId="15" applyFont="1" applyBorder="1" applyAlignment="1">
      <alignment vertical="center"/>
    </xf>
    <xf numFmtId="0" fontId="18" fillId="0" borderId="45" xfId="15" applyFont="1" applyBorder="1"/>
    <xf numFmtId="0" fontId="18" fillId="0" borderId="46" xfId="15" applyFont="1" applyBorder="1"/>
    <xf numFmtId="0" fontId="2" fillId="0" borderId="0" xfId="15" applyAlignment="1">
      <alignment vertical="center"/>
    </xf>
    <xf numFmtId="0" fontId="2" fillId="0" borderId="0" xfId="15" applyAlignment="1">
      <alignment horizontal="center" vertical="center"/>
    </xf>
    <xf numFmtId="0" fontId="18" fillId="0" borderId="2" xfId="15" applyFont="1" applyBorder="1" applyAlignment="1">
      <alignment vertical="center"/>
    </xf>
    <xf numFmtId="0" fontId="18" fillId="0" borderId="0" xfId="15" applyFont="1" applyAlignment="1">
      <alignment horizontal="center" vertical="center"/>
    </xf>
    <xf numFmtId="14" fontId="2" fillId="0" borderId="0" xfId="15" applyNumberFormat="1" applyAlignment="1">
      <alignment horizontal="center" vertical="center"/>
    </xf>
    <xf numFmtId="9" fontId="9" fillId="0" borderId="0" xfId="0" applyNumberFormat="1" applyFont="1" applyAlignment="1">
      <alignment horizontal="left" indent="1"/>
    </xf>
    <xf numFmtId="10" fontId="9" fillId="0" borderId="0" xfId="0" applyNumberFormat="1" applyFont="1" applyAlignment="1">
      <alignment horizontal="left" indent="1"/>
    </xf>
    <xf numFmtId="10" fontId="8" fillId="0" borderId="0" xfId="0" applyNumberFormat="1" applyFont="1" applyAlignment="1">
      <alignment horizontal="left" indent="1"/>
    </xf>
    <xf numFmtId="0" fontId="61" fillId="0" borderId="0" xfId="15" applyFont="1" applyAlignment="1">
      <alignment vertical="center"/>
    </xf>
    <xf numFmtId="0" fontId="1" fillId="0" borderId="0" xfId="15" applyFont="1" applyAlignment="1">
      <alignment vertical="center"/>
    </xf>
    <xf numFmtId="0" fontId="23" fillId="0" borderId="2" xfId="15" applyFont="1" applyBorder="1" applyAlignment="1">
      <alignment vertical="center"/>
    </xf>
    <xf numFmtId="0" fontId="62" fillId="2" borderId="2" xfId="15" applyFont="1" applyFill="1" applyBorder="1" applyAlignment="1">
      <alignment vertical="center"/>
    </xf>
    <xf numFmtId="0" fontId="62" fillId="2" borderId="2" xfId="15" applyFont="1" applyFill="1" applyBorder="1" applyAlignment="1">
      <alignment horizontal="left" vertical="center"/>
    </xf>
    <xf numFmtId="0" fontId="62" fillId="2" borderId="2" xfId="15" applyFont="1" applyFill="1" applyBorder="1" applyAlignment="1">
      <alignment horizontal="center" vertical="center"/>
    </xf>
    <xf numFmtId="0" fontId="62" fillId="0" borderId="0" xfId="15" applyFont="1" applyAlignment="1">
      <alignment vertical="center"/>
    </xf>
    <xf numFmtId="0" fontId="62" fillId="0" borderId="2" xfId="15" applyFont="1" applyBorder="1" applyAlignment="1">
      <alignment vertical="center"/>
    </xf>
    <xf numFmtId="0" fontId="62" fillId="0" borderId="2" xfId="15" applyFont="1" applyBorder="1" applyAlignment="1">
      <alignment horizontal="left" vertical="center"/>
    </xf>
    <xf numFmtId="14" fontId="62" fillId="0" borderId="2" xfId="15" applyNumberFormat="1" applyFont="1" applyBorder="1" applyAlignment="1">
      <alignment horizontal="center" vertical="center"/>
    </xf>
    <xf numFmtId="10" fontId="62" fillId="0" borderId="2" xfId="15" applyNumberFormat="1" applyFont="1" applyBorder="1" applyAlignment="1">
      <alignment horizontal="left" vertical="center"/>
    </xf>
    <xf numFmtId="10" fontId="62" fillId="0" borderId="2" xfId="15" applyNumberFormat="1" applyFont="1" applyBorder="1" applyAlignment="1">
      <alignment horizontal="center" vertical="center"/>
    </xf>
    <xf numFmtId="10" fontId="63" fillId="0" borderId="2" xfId="15" applyNumberFormat="1" applyFont="1" applyBorder="1" applyAlignment="1">
      <alignment horizontal="left" vertical="center"/>
    </xf>
    <xf numFmtId="0" fontId="64" fillId="0" borderId="2" xfId="15" applyFont="1" applyBorder="1" applyAlignment="1">
      <alignment vertical="center"/>
    </xf>
    <xf numFmtId="0" fontId="64" fillId="0" borderId="2" xfId="15" applyFont="1" applyBorder="1" applyAlignment="1">
      <alignment horizontal="left" vertical="center"/>
    </xf>
    <xf numFmtId="10" fontId="64" fillId="0" borderId="2" xfId="15" applyNumberFormat="1" applyFont="1" applyBorder="1" applyAlignment="1">
      <alignment horizontal="left" vertical="center"/>
    </xf>
    <xf numFmtId="10" fontId="64" fillId="0" borderId="2" xfId="15" applyNumberFormat="1" applyFont="1" applyBorder="1" applyAlignment="1">
      <alignment horizontal="center" vertical="center"/>
    </xf>
    <xf numFmtId="0" fontId="63" fillId="0" borderId="0" xfId="15" applyFont="1" applyAlignment="1">
      <alignment vertical="center"/>
    </xf>
    <xf numFmtId="0" fontId="63" fillId="0" borderId="2" xfId="15" applyFont="1" applyBorder="1" applyAlignment="1">
      <alignment vertical="center"/>
    </xf>
    <xf numFmtId="0" fontId="63" fillId="0" borderId="2" xfId="15" applyFont="1" applyBorder="1" applyAlignment="1">
      <alignment horizontal="left" vertical="center"/>
    </xf>
    <xf numFmtId="14" fontId="63" fillId="0" borderId="2" xfId="15" applyNumberFormat="1" applyFont="1" applyBorder="1" applyAlignment="1">
      <alignment horizontal="center" vertical="center"/>
    </xf>
    <xf numFmtId="10" fontId="63" fillId="0" borderId="2" xfId="15" applyNumberFormat="1" applyFont="1" applyBorder="1" applyAlignment="1">
      <alignment horizontal="center" vertical="center"/>
    </xf>
    <xf numFmtId="0" fontId="62" fillId="0" borderId="0" xfId="15" applyFont="1" applyAlignment="1">
      <alignment horizontal="center" vertical="center"/>
    </xf>
    <xf numFmtId="14" fontId="62" fillId="0" borderId="0" xfId="15" applyNumberFormat="1" applyFont="1" applyAlignment="1">
      <alignment horizontal="center" vertical="center"/>
    </xf>
    <xf numFmtId="0" fontId="62" fillId="0" borderId="2" xfId="15" applyFont="1" applyBorder="1" applyAlignment="1">
      <alignment horizontal="center" vertical="center"/>
    </xf>
    <xf numFmtId="14" fontId="64" fillId="0" borderId="2" xfId="15" applyNumberFormat="1" applyFont="1" applyBorder="1" applyAlignment="1">
      <alignment horizontal="center" vertical="center"/>
    </xf>
    <xf numFmtId="0" fontId="59" fillId="0" borderId="0" xfId="15" applyFont="1" applyAlignment="1">
      <alignment vertical="center"/>
    </xf>
    <xf numFmtId="2" fontId="62" fillId="0" borderId="0" xfId="15" applyNumberFormat="1" applyFont="1" applyAlignment="1">
      <alignment vertical="center"/>
    </xf>
    <xf numFmtId="1" fontId="62" fillId="0" borderId="0" xfId="15" applyNumberFormat="1" applyFont="1" applyAlignment="1">
      <alignment vertical="center"/>
    </xf>
    <xf numFmtId="10" fontId="62" fillId="0" borderId="0" xfId="15" applyNumberFormat="1" applyFont="1" applyAlignment="1">
      <alignment vertical="center"/>
    </xf>
    <xf numFmtId="0" fontId="64" fillId="0" borderId="0" xfId="15" applyFont="1" applyAlignment="1">
      <alignment vertical="center"/>
    </xf>
    <xf numFmtId="10" fontId="18" fillId="0" borderId="0" xfId="15" applyNumberFormat="1" applyFont="1" applyAlignment="1">
      <alignment vertical="center"/>
    </xf>
    <xf numFmtId="10" fontId="18" fillId="0" borderId="0" xfId="15" applyNumberFormat="1" applyFont="1" applyAlignment="1">
      <alignment horizontal="left" vertical="center"/>
    </xf>
    <xf numFmtId="10" fontId="23" fillId="0" borderId="0" xfId="15" applyNumberFormat="1" applyFont="1" applyAlignment="1">
      <alignment horizontal="left" vertical="center"/>
    </xf>
    <xf numFmtId="167" fontId="0" fillId="0" borderId="0" xfId="0" applyAlignment="1">
      <alignment horizontal="left" vertical="top"/>
    </xf>
    <xf numFmtId="10" fontId="16" fillId="0" borderId="0" xfId="1" applyNumberFormat="1" applyFont="1" applyAlignment="1">
      <alignment horizontal="right" vertical="top" indent="1"/>
    </xf>
    <xf numFmtId="10" fontId="16" fillId="0" borderId="0" xfId="1" applyNumberFormat="1" applyFont="1" applyAlignment="1">
      <alignment horizontal="left" vertical="top"/>
    </xf>
    <xf numFmtId="10" fontId="20" fillId="0" borderId="0" xfId="0" applyNumberFormat="1" applyFont="1" applyAlignment="1">
      <alignment horizontal="left" vertical="top"/>
    </xf>
    <xf numFmtId="9" fontId="28" fillId="0" borderId="0" xfId="0" applyNumberFormat="1" applyFont="1" applyAlignment="1">
      <alignment horizontal="left" vertical="top"/>
    </xf>
    <xf numFmtId="10" fontId="8" fillId="0" borderId="0" xfId="0" applyNumberFormat="1" applyFont="1" applyAlignment="1">
      <alignment horizontal="right" vertical="top"/>
    </xf>
    <xf numFmtId="10" fontId="16" fillId="0" borderId="0" xfId="1" applyNumberFormat="1" applyFont="1" applyAlignment="1">
      <alignment horizontal="right" vertical="top"/>
    </xf>
    <xf numFmtId="10" fontId="16" fillId="0" borderId="0" xfId="1" quotePrefix="1" applyNumberFormat="1" applyFont="1" applyAlignment="1">
      <alignment horizontal="left" vertical="top"/>
    </xf>
    <xf numFmtId="2" fontId="8" fillId="7" borderId="2" xfId="0" applyNumberFormat="1" applyFont="1" applyFill="1" applyBorder="1" applyAlignment="1">
      <alignment horizontal="left" vertical="top"/>
    </xf>
    <xf numFmtId="10" fontId="15" fillId="0" borderId="8" xfId="0" applyNumberFormat="1" applyFont="1" applyBorder="1" applyAlignment="1">
      <alignment horizontal="left" vertical="top"/>
    </xf>
    <xf numFmtId="10" fontId="15" fillId="0" borderId="7" xfId="0" applyNumberFormat="1" applyFont="1" applyBorder="1" applyAlignment="1">
      <alignment horizontal="left" vertical="top"/>
    </xf>
    <xf numFmtId="10" fontId="21" fillId="0" borderId="0" xfId="0" applyNumberFormat="1" applyFont="1" applyAlignment="1">
      <alignment horizontal="left" vertical="top"/>
    </xf>
    <xf numFmtId="10" fontId="14" fillId="0" borderId="0" xfId="0" applyNumberFormat="1" applyFont="1" applyAlignment="1">
      <alignment horizontal="left" vertical="top"/>
    </xf>
    <xf numFmtId="10" fontId="43" fillId="0" borderId="0" xfId="1" quotePrefix="1" applyNumberFormat="1" applyFont="1" applyAlignment="1">
      <alignment horizontal="left" vertical="top"/>
    </xf>
    <xf numFmtId="10" fontId="28" fillId="0" borderId="0" xfId="0" applyNumberFormat="1" applyFont="1" applyAlignment="1">
      <alignment horizontal="left" vertical="top"/>
    </xf>
    <xf numFmtId="2" fontId="21" fillId="0" borderId="0" xfId="0" applyNumberFormat="1" applyFont="1" applyAlignment="1">
      <alignment horizontal="left"/>
    </xf>
    <xf numFmtId="10" fontId="47" fillId="18" borderId="0" xfId="0" applyNumberFormat="1" applyFont="1" applyFill="1" applyAlignment="1">
      <alignment horizontal="left" vertical="top"/>
    </xf>
    <xf numFmtId="10" fontId="48" fillId="18" borderId="0" xfId="0" applyNumberFormat="1" applyFont="1" applyFill="1" applyAlignment="1">
      <alignment horizontal="left" vertical="top"/>
    </xf>
    <xf numFmtId="167" fontId="15" fillId="18" borderId="0" xfId="0" applyFont="1" applyFill="1" applyAlignment="1">
      <alignment horizontal="left" vertical="top"/>
    </xf>
    <xf numFmtId="167" fontId="15" fillId="18" borderId="0" xfId="0" applyFont="1" applyFill="1" applyAlignment="1">
      <alignment horizontal="left" vertical="top" indent="1"/>
    </xf>
    <xf numFmtId="0" fontId="15" fillId="18" borderId="0" xfId="0" applyNumberFormat="1" applyFont="1" applyFill="1" applyAlignment="1">
      <alignment horizontal="left" vertical="top" indent="1"/>
    </xf>
    <xf numFmtId="167" fontId="47" fillId="18" borderId="0" xfId="0" quotePrefix="1" applyFont="1" applyFill="1" applyAlignment="1">
      <alignment horizontal="left" vertical="top"/>
    </xf>
    <xf numFmtId="0" fontId="15" fillId="18" borderId="0" xfId="0" applyNumberFormat="1" applyFont="1" applyFill="1" applyAlignment="1">
      <alignment horizontal="left" vertical="top"/>
    </xf>
    <xf numFmtId="167" fontId="14" fillId="18" borderId="0" xfId="0" applyFont="1" applyFill="1" applyAlignment="1">
      <alignment horizontal="left" vertical="top"/>
    </xf>
    <xf numFmtId="167" fontId="16" fillId="18" borderId="0" xfId="0" applyFont="1" applyFill="1" applyAlignment="1">
      <alignment horizontal="left" vertical="top"/>
    </xf>
    <xf numFmtId="167" fontId="47" fillId="18" borderId="0" xfId="0" applyFont="1" applyFill="1" applyAlignment="1">
      <alignment horizontal="left" vertical="top"/>
    </xf>
    <xf numFmtId="167" fontId="15" fillId="18" borderId="0" xfId="0" quotePrefix="1" applyFont="1" applyFill="1" applyAlignment="1">
      <alignment horizontal="left" vertical="top"/>
    </xf>
    <xf numFmtId="167" fontId="15" fillId="18" borderId="0" xfId="0" applyFont="1" applyFill="1" applyAlignment="1">
      <alignment horizontal="left" vertical="top" wrapText="1"/>
    </xf>
    <xf numFmtId="2" fontId="15" fillId="18" borderId="0" xfId="0" quotePrefix="1" applyNumberFormat="1" applyFont="1" applyFill="1" applyAlignment="1">
      <alignment horizontal="left" vertical="top"/>
    </xf>
    <xf numFmtId="10" fontId="15" fillId="18" borderId="0" xfId="0" applyNumberFormat="1" applyFont="1" applyFill="1" applyAlignment="1">
      <alignment horizontal="left" vertical="top"/>
    </xf>
    <xf numFmtId="2" fontId="15" fillId="18" borderId="0" xfId="0" applyNumberFormat="1" applyFont="1" applyFill="1" applyAlignment="1">
      <alignment horizontal="left" vertical="top"/>
    </xf>
    <xf numFmtId="1" fontId="28" fillId="18" borderId="0" xfId="1" applyNumberFormat="1" applyFont="1" applyFill="1" applyAlignment="1">
      <alignment horizontal="right" vertical="top"/>
    </xf>
    <xf numFmtId="167" fontId="8" fillId="18" borderId="0" xfId="0" applyFont="1" applyFill="1" applyAlignment="1">
      <alignment horizontal="left" vertical="top"/>
    </xf>
    <xf numFmtId="167" fontId="15" fillId="18" borderId="0" xfId="2" applyFont="1" applyFill="1" applyAlignment="1">
      <alignment horizontal="left" vertical="top"/>
    </xf>
    <xf numFmtId="0" fontId="8" fillId="18" borderId="3" xfId="0" applyNumberFormat="1" applyFont="1" applyFill="1" applyBorder="1" applyAlignment="1">
      <alignment vertical="top"/>
    </xf>
    <xf numFmtId="167" fontId="8" fillId="18" borderId="3" xfId="0" applyFont="1" applyFill="1" applyBorder="1" applyAlignment="1">
      <alignment horizontal="left" vertical="top"/>
    </xf>
    <xf numFmtId="2" fontId="8" fillId="18" borderId="0" xfId="0" quotePrefix="1" applyNumberFormat="1" applyFont="1" applyFill="1" applyAlignment="1">
      <alignment horizontal="left" vertical="top"/>
    </xf>
    <xf numFmtId="167" fontId="16" fillId="18" borderId="0" xfId="0" applyFont="1" applyFill="1" applyAlignment="1">
      <alignment vertical="top"/>
    </xf>
    <xf numFmtId="0" fontId="8" fillId="18" borderId="0" xfId="0" applyNumberFormat="1" applyFont="1" applyFill="1" applyAlignment="1">
      <alignment horizontal="left" vertical="top"/>
    </xf>
    <xf numFmtId="167" fontId="0" fillId="18" borderId="0" xfId="0" applyFill="1" applyAlignment="1">
      <alignment horizontal="left" vertical="top"/>
    </xf>
    <xf numFmtId="0" fontId="8" fillId="18" borderId="0" xfId="0" applyNumberFormat="1" applyFont="1" applyFill="1" applyAlignment="1">
      <alignment vertical="top"/>
    </xf>
    <xf numFmtId="10" fontId="42" fillId="18" borderId="0" xfId="0" applyNumberFormat="1" applyFont="1" applyFill="1" applyAlignment="1">
      <alignment horizontal="right" vertical="top"/>
    </xf>
    <xf numFmtId="10" fontId="32" fillId="18" borderId="0" xfId="0" applyNumberFormat="1" applyFont="1" applyFill="1" applyAlignment="1">
      <alignment horizontal="left" vertical="top"/>
    </xf>
    <xf numFmtId="10" fontId="32" fillId="18" borderId="0" xfId="1" applyNumberFormat="1" applyFont="1" applyFill="1" applyAlignment="1">
      <alignment horizontal="left" vertical="top" indent="1"/>
    </xf>
    <xf numFmtId="10" fontId="32" fillId="18" borderId="0" xfId="1" applyNumberFormat="1" applyFont="1" applyFill="1" applyAlignment="1">
      <alignment horizontal="left" vertical="top"/>
    </xf>
    <xf numFmtId="167" fontId="32" fillId="18" borderId="0" xfId="0" applyFont="1" applyFill="1" applyAlignment="1">
      <alignment horizontal="left" vertical="top"/>
    </xf>
    <xf numFmtId="9" fontId="32" fillId="18" borderId="0" xfId="0" applyNumberFormat="1" applyFont="1" applyFill="1" applyAlignment="1">
      <alignment horizontal="left" vertical="top"/>
    </xf>
    <xf numFmtId="0" fontId="32" fillId="18" borderId="0" xfId="0" applyNumberFormat="1" applyFont="1" applyFill="1" applyAlignment="1">
      <alignment horizontal="left" vertical="top"/>
    </xf>
    <xf numFmtId="1" fontId="32" fillId="18" borderId="0" xfId="1" applyNumberFormat="1" applyFont="1" applyFill="1" applyAlignment="1">
      <alignment horizontal="left" vertical="top"/>
    </xf>
    <xf numFmtId="167" fontId="32" fillId="18" borderId="0" xfId="0" applyFont="1" applyFill="1" applyAlignment="1">
      <alignment vertical="top"/>
    </xf>
    <xf numFmtId="1" fontId="16" fillId="18" borderId="0" xfId="1" applyNumberFormat="1" applyFont="1" applyFill="1" applyAlignment="1">
      <alignment horizontal="left" vertical="top"/>
    </xf>
    <xf numFmtId="10" fontId="32" fillId="18" borderId="0" xfId="1" quotePrefix="1" applyNumberFormat="1" applyFont="1" applyFill="1" applyAlignment="1">
      <alignment horizontal="left" vertical="top"/>
    </xf>
    <xf numFmtId="167" fontId="32" fillId="18" borderId="0" xfId="0" quotePrefix="1" applyFont="1" applyFill="1" applyAlignment="1">
      <alignment horizontal="left" vertical="top"/>
    </xf>
    <xf numFmtId="167" fontId="8" fillId="18" borderId="0" xfId="0" applyFont="1" applyFill="1" applyAlignment="1">
      <alignment horizontal="right" vertical="top"/>
    </xf>
    <xf numFmtId="167" fontId="32" fillId="18" borderId="0" xfId="2" applyFont="1" applyFill="1" applyAlignment="1">
      <alignment horizontal="left" vertical="top"/>
    </xf>
    <xf numFmtId="167" fontId="11" fillId="18" borderId="0" xfId="0" applyFont="1" applyFill="1" applyAlignment="1">
      <alignment horizontal="left" vertical="top"/>
    </xf>
    <xf numFmtId="10" fontId="8" fillId="18" borderId="0" xfId="1" quotePrefix="1" applyNumberFormat="1" applyFill="1" applyAlignment="1">
      <alignment horizontal="left" vertical="top"/>
    </xf>
    <xf numFmtId="167" fontId="28" fillId="18" borderId="0" xfId="0" applyFont="1" applyFill="1" applyAlignment="1">
      <alignment horizontal="left" vertical="top"/>
    </xf>
    <xf numFmtId="11" fontId="28" fillId="18" borderId="0" xfId="0" applyNumberFormat="1" applyFont="1" applyFill="1" applyAlignment="1">
      <alignment horizontal="left" vertical="top"/>
    </xf>
    <xf numFmtId="1" fontId="28" fillId="18" borderId="0" xfId="0" applyNumberFormat="1" applyFont="1" applyFill="1" applyAlignment="1">
      <alignment horizontal="left" vertical="top"/>
    </xf>
    <xf numFmtId="167" fontId="28" fillId="18" borderId="0" xfId="0" applyFont="1" applyFill="1" applyAlignment="1">
      <alignment vertical="top"/>
    </xf>
    <xf numFmtId="167" fontId="25" fillId="18" borderId="0" xfId="0" applyFont="1" applyFill="1" applyAlignment="1">
      <alignment horizontal="left" vertical="top"/>
    </xf>
    <xf numFmtId="0" fontId="28" fillId="18" borderId="0" xfId="0" applyNumberFormat="1" applyFont="1" applyFill="1" applyAlignment="1">
      <alignment horizontal="right" vertical="top"/>
    </xf>
    <xf numFmtId="167" fontId="30" fillId="18" borderId="0" xfId="0" applyFont="1" applyFill="1" applyAlignment="1">
      <alignment horizontal="left" vertical="top"/>
    </xf>
    <xf numFmtId="167" fontId="0" fillId="18" borderId="0" xfId="0" applyFill="1" applyAlignment="1">
      <alignment vertical="top"/>
    </xf>
    <xf numFmtId="167" fontId="22" fillId="18" borderId="0" xfId="0" applyFont="1" applyFill="1" applyAlignment="1">
      <alignment horizontal="left" vertical="top"/>
    </xf>
    <xf numFmtId="0" fontId="22" fillId="18" borderId="0" xfId="0" applyNumberFormat="1" applyFont="1" applyFill="1" applyAlignment="1">
      <alignment horizontal="left" vertical="top"/>
    </xf>
    <xf numFmtId="1" fontId="28" fillId="18" borderId="0" xfId="0" applyNumberFormat="1" applyFont="1" applyFill="1" applyAlignment="1">
      <alignment horizontal="right" vertical="top"/>
    </xf>
    <xf numFmtId="2" fontId="28" fillId="18" borderId="0" xfId="0" applyNumberFormat="1" applyFont="1" applyFill="1" applyAlignment="1">
      <alignment horizontal="right" vertical="top"/>
    </xf>
    <xf numFmtId="166" fontId="22" fillId="18" borderId="0" xfId="0" applyNumberFormat="1" applyFont="1" applyFill="1" applyAlignment="1">
      <alignment horizontal="left" vertical="top"/>
    </xf>
    <xf numFmtId="0" fontId="0" fillId="18" borderId="0" xfId="0" applyNumberFormat="1" applyFill="1" applyAlignment="1">
      <alignment horizontal="left" vertical="top"/>
    </xf>
    <xf numFmtId="0" fontId="25" fillId="18" borderId="0" xfId="0" applyNumberFormat="1" applyFont="1" applyFill="1" applyAlignment="1">
      <alignment horizontal="left" vertical="top"/>
    </xf>
    <xf numFmtId="167" fontId="46" fillId="18" borderId="0" xfId="0" applyFont="1" applyFill="1" applyAlignment="1">
      <alignment horizontal="left" vertical="top"/>
    </xf>
    <xf numFmtId="0" fontId="11" fillId="18" borderId="0" xfId="0" applyNumberFormat="1" applyFont="1" applyFill="1" applyAlignment="1">
      <alignment horizontal="left" vertical="top"/>
    </xf>
    <xf numFmtId="167" fontId="5" fillId="18" borderId="0" xfId="2" applyFont="1" applyFill="1" applyAlignment="1">
      <alignment horizontal="left" vertical="top"/>
    </xf>
    <xf numFmtId="167" fontId="8" fillId="18" borderId="3" xfId="0" applyFont="1" applyFill="1" applyBorder="1" applyAlignment="1">
      <alignment vertical="top"/>
    </xf>
    <xf numFmtId="167" fontId="4" fillId="18" borderId="3" xfId="2" applyFont="1" applyFill="1" applyBorder="1" applyAlignment="1">
      <alignment horizontal="left" vertical="top"/>
    </xf>
    <xf numFmtId="167" fontId="5" fillId="18" borderId="0" xfId="2" applyFont="1" applyFill="1" applyAlignment="1">
      <alignment horizontal="left" vertical="top" wrapText="1"/>
    </xf>
    <xf numFmtId="167" fontId="8" fillId="18" borderId="3" xfId="0" applyFont="1" applyFill="1" applyBorder="1" applyAlignment="1">
      <alignment horizontal="right" vertical="top"/>
    </xf>
    <xf numFmtId="167" fontId="8" fillId="18" borderId="0" xfId="2" applyFont="1" applyFill="1" applyAlignment="1">
      <alignment horizontal="left" vertical="top"/>
    </xf>
    <xf numFmtId="167" fontId="5" fillId="18" borderId="3" xfId="2" applyFont="1" applyFill="1" applyBorder="1" applyAlignment="1">
      <alignment horizontal="left" vertical="top"/>
    </xf>
    <xf numFmtId="167" fontId="0" fillId="18" borderId="0" xfId="0" applyFill="1"/>
    <xf numFmtId="167" fontId="9" fillId="18" borderId="6" xfId="0" applyFont="1" applyFill="1" applyBorder="1" applyAlignment="1">
      <alignment vertical="top"/>
    </xf>
    <xf numFmtId="167" fontId="9" fillId="18" borderId="0" xfId="0" applyFont="1" applyFill="1" applyAlignment="1">
      <alignment vertical="top"/>
    </xf>
    <xf numFmtId="167" fontId="8" fillId="18" borderId="0" xfId="0" applyFont="1" applyFill="1" applyAlignment="1">
      <alignment vertical="top"/>
    </xf>
    <xf numFmtId="167" fontId="14" fillId="18" borderId="0" xfId="0" applyFont="1" applyFill="1" applyAlignment="1">
      <alignment vertical="top"/>
    </xf>
    <xf numFmtId="167" fontId="15" fillId="18" borderId="0" xfId="0" applyFont="1" applyFill="1" applyAlignment="1">
      <alignment vertical="top"/>
    </xf>
    <xf numFmtId="167" fontId="11" fillId="18" borderId="0" xfId="0" applyFont="1" applyFill="1" applyAlignment="1">
      <alignment vertical="top"/>
    </xf>
    <xf numFmtId="167" fontId="10" fillId="18" borderId="0" xfId="0" applyFont="1" applyFill="1" applyAlignment="1">
      <alignment vertical="top"/>
    </xf>
    <xf numFmtId="167" fontId="12" fillId="18" borderId="0" xfId="0" applyFont="1" applyFill="1" applyAlignment="1">
      <alignment vertical="top"/>
    </xf>
    <xf numFmtId="167" fontId="9" fillId="18" borderId="0" xfId="0" applyFont="1" applyFill="1"/>
    <xf numFmtId="167" fontId="8" fillId="18" borderId="0" xfId="0" applyFont="1" applyFill="1"/>
    <xf numFmtId="10" fontId="0" fillId="18" borderId="0" xfId="1" applyNumberFormat="1" applyFont="1" applyFill="1" applyAlignment="1">
      <alignment horizontal="left"/>
    </xf>
    <xf numFmtId="10" fontId="9" fillId="18" borderId="0" xfId="1" applyNumberFormat="1" applyFont="1" applyFill="1" applyAlignment="1">
      <alignment horizontal="left"/>
    </xf>
    <xf numFmtId="167" fontId="14" fillId="18" borderId="0" xfId="0" applyFont="1" applyFill="1"/>
    <xf numFmtId="10" fontId="8" fillId="18" borderId="0" xfId="1" applyNumberFormat="1" applyFill="1" applyAlignment="1">
      <alignment horizontal="left"/>
    </xf>
    <xf numFmtId="167" fontId="43" fillId="0" borderId="0" xfId="0" applyFont="1" applyAlignment="1">
      <alignment horizontal="right"/>
    </xf>
    <xf numFmtId="1" fontId="45" fillId="0" borderId="0" xfId="0" applyNumberFormat="1" applyFont="1" applyAlignment="1">
      <alignment horizontal="left"/>
    </xf>
    <xf numFmtId="167" fontId="14" fillId="0" borderId="0" xfId="0" applyFont="1" applyAlignment="1">
      <alignment horizontal="right"/>
    </xf>
    <xf numFmtId="0" fontId="18" fillId="2" borderId="17" xfId="15" applyFont="1" applyFill="1" applyBorder="1" applyAlignment="1">
      <alignment horizontal="left" vertical="center"/>
    </xf>
    <xf numFmtId="0" fontId="18" fillId="0" borderId="2" xfId="15" applyFont="1" applyBorder="1" applyAlignment="1">
      <alignment horizontal="left" vertical="center"/>
    </xf>
    <xf numFmtId="0" fontId="24" fillId="0" borderId="2" xfId="15" applyFont="1" applyBorder="1" applyAlignment="1">
      <alignment horizontal="left" vertical="center"/>
    </xf>
    <xf numFmtId="0" fontId="23" fillId="0" borderId="2" xfId="15" applyFont="1" applyBorder="1" applyAlignment="1">
      <alignment horizontal="left" vertical="center"/>
    </xf>
    <xf numFmtId="0" fontId="18" fillId="2" borderId="2" xfId="15" applyFont="1" applyFill="1" applyBorder="1" applyAlignment="1">
      <alignment horizontal="left" vertical="center"/>
    </xf>
    <xf numFmtId="14" fontId="2" fillId="0" borderId="2" xfId="15" applyNumberFormat="1" applyBorder="1" applyAlignment="1">
      <alignment horizontal="left" vertical="center"/>
    </xf>
    <xf numFmtId="10" fontId="2" fillId="0" borderId="2" xfId="15" applyNumberFormat="1" applyBorder="1" applyAlignment="1">
      <alignment horizontal="left" vertical="center"/>
    </xf>
    <xf numFmtId="10" fontId="18" fillId="0" borderId="2" xfId="15" applyNumberFormat="1" applyFont="1" applyBorder="1" applyAlignment="1">
      <alignment horizontal="left" vertical="center"/>
    </xf>
    <xf numFmtId="14" fontId="61" fillId="0" borderId="2" xfId="15" applyNumberFormat="1" applyFont="1" applyBorder="1" applyAlignment="1">
      <alignment horizontal="left" vertical="center"/>
    </xf>
    <xf numFmtId="10" fontId="24" fillId="0" borderId="2" xfId="15" applyNumberFormat="1" applyFont="1" applyBorder="1" applyAlignment="1">
      <alignment horizontal="left" vertical="center"/>
    </xf>
    <xf numFmtId="0" fontId="2" fillId="0" borderId="2" xfId="15" applyBorder="1" applyAlignment="1">
      <alignment horizontal="left" vertical="center"/>
    </xf>
    <xf numFmtId="14" fontId="23" fillId="0" borderId="2" xfId="15" applyNumberFormat="1" applyFont="1" applyBorder="1" applyAlignment="1">
      <alignment horizontal="left" vertical="center"/>
    </xf>
    <xf numFmtId="10" fontId="23" fillId="0" borderId="2" xfId="15" applyNumberFormat="1" applyFont="1" applyBorder="1" applyAlignment="1">
      <alignment horizontal="left" vertical="center"/>
    </xf>
    <xf numFmtId="14" fontId="64" fillId="7" borderId="2" xfId="15" applyNumberFormat="1" applyFont="1" applyFill="1" applyBorder="1" applyAlignment="1">
      <alignment horizontal="center" vertical="center"/>
    </xf>
    <xf numFmtId="0" fontId="23" fillId="0" borderId="0" xfId="15" applyFont="1" applyAlignment="1">
      <alignment vertical="center"/>
    </xf>
    <xf numFmtId="169" fontId="18" fillId="0" borderId="2" xfId="15" applyNumberFormat="1" applyFont="1" applyBorder="1" applyAlignment="1">
      <alignment horizontal="left" vertical="center"/>
    </xf>
    <xf numFmtId="169" fontId="23" fillId="0" borderId="2" xfId="15" applyNumberFormat="1" applyFont="1" applyBorder="1" applyAlignment="1">
      <alignment horizontal="left" vertical="center"/>
    </xf>
    <xf numFmtId="0" fontId="65" fillId="0" borderId="2" xfId="15" applyFont="1" applyBorder="1" applyAlignment="1">
      <alignment horizontal="left" vertical="center"/>
    </xf>
    <xf numFmtId="10" fontId="65" fillId="0" borderId="2" xfId="15" applyNumberFormat="1" applyFont="1" applyBorder="1" applyAlignment="1">
      <alignment horizontal="left" vertical="center"/>
    </xf>
    <xf numFmtId="0" fontId="18" fillId="2" borderId="11" xfId="15" applyFont="1" applyFill="1" applyBorder="1" applyAlignment="1">
      <alignment horizontal="left" vertical="center"/>
    </xf>
    <xf numFmtId="0" fontId="18" fillId="2" borderId="17" xfId="15" quotePrefix="1" applyFont="1" applyFill="1" applyBorder="1" applyAlignment="1">
      <alignment horizontal="left" vertical="center"/>
    </xf>
    <xf numFmtId="10" fontId="65" fillId="0" borderId="0" xfId="15" applyNumberFormat="1" applyFont="1" applyAlignment="1">
      <alignment vertical="center"/>
    </xf>
    <xf numFmtId="10" fontId="65" fillId="0" borderId="0" xfId="15" applyNumberFormat="1" applyFont="1" applyAlignment="1">
      <alignment horizontal="left" vertical="center"/>
    </xf>
    <xf numFmtId="0" fontId="2" fillId="18" borderId="0" xfId="15" applyFill="1" applyAlignment="1">
      <alignment vertical="center"/>
    </xf>
    <xf numFmtId="14" fontId="2" fillId="18" borderId="0" xfId="15" applyNumberFormat="1" applyFill="1" applyAlignment="1">
      <alignment horizontal="center" vertical="center"/>
    </xf>
    <xf numFmtId="0" fontId="66" fillId="18" borderId="6" xfId="15" applyFont="1" applyFill="1" applyBorder="1" applyAlignment="1">
      <alignment vertical="center"/>
    </xf>
    <xf numFmtId="0" fontId="66" fillId="18" borderId="0" xfId="15" applyFont="1" applyFill="1" applyAlignment="1">
      <alignment vertical="center"/>
    </xf>
    <xf numFmtId="0" fontId="66" fillId="18" borderId="0" xfId="15" applyFont="1" applyFill="1" applyAlignment="1">
      <alignment horizontal="center" vertical="center"/>
    </xf>
    <xf numFmtId="14" fontId="66" fillId="18" borderId="0" xfId="15" applyNumberFormat="1" applyFont="1" applyFill="1" applyAlignment="1">
      <alignment horizontal="center" vertical="center"/>
    </xf>
    <xf numFmtId="10" fontId="18" fillId="18" borderId="0" xfId="15" applyNumberFormat="1" applyFont="1" applyFill="1" applyAlignment="1">
      <alignment vertical="center"/>
    </xf>
    <xf numFmtId="0" fontId="2" fillId="18" borderId="0" xfId="15" applyFill="1" applyAlignment="1">
      <alignment horizontal="center" vertical="center"/>
    </xf>
    <xf numFmtId="0" fontId="62" fillId="18" borderId="0" xfId="15" applyFont="1" applyFill="1" applyAlignment="1">
      <alignment vertical="center"/>
    </xf>
    <xf numFmtId="0" fontId="59" fillId="18" borderId="0" xfId="15" applyFont="1" applyFill="1" applyAlignment="1">
      <alignment vertical="center"/>
    </xf>
    <xf numFmtId="0" fontId="61" fillId="18" borderId="0" xfId="15" applyFont="1" applyFill="1" applyAlignment="1">
      <alignment vertical="center"/>
    </xf>
    <xf numFmtId="0" fontId="18" fillId="18" borderId="0" xfId="15" applyFont="1" applyFill="1" applyAlignment="1">
      <alignment vertical="center"/>
    </xf>
    <xf numFmtId="167" fontId="32" fillId="4" borderId="0" xfId="0" applyFont="1" applyFill="1" applyAlignment="1">
      <alignment vertical="top"/>
    </xf>
    <xf numFmtId="10" fontId="32" fillId="0" borderId="0" xfId="0" applyNumberFormat="1" applyFont="1" applyAlignment="1">
      <alignment horizontal="left" vertical="top"/>
    </xf>
    <xf numFmtId="167" fontId="32" fillId="0" borderId="0" xfId="0" applyFont="1" applyAlignment="1">
      <alignment horizontal="left" vertical="top"/>
    </xf>
    <xf numFmtId="167" fontId="32" fillId="0" borderId="0" xfId="0" applyFont="1" applyAlignment="1">
      <alignment vertical="top"/>
    </xf>
    <xf numFmtId="1" fontId="16" fillId="0" borderId="0" xfId="1" applyNumberFormat="1" applyFont="1" applyAlignment="1">
      <alignment horizontal="left" vertical="top"/>
    </xf>
    <xf numFmtId="167" fontId="32" fillId="0" borderId="0" xfId="0" quotePrefix="1" applyFont="1" applyAlignment="1">
      <alignment horizontal="left" vertical="top"/>
    </xf>
    <xf numFmtId="167" fontId="9" fillId="2" borderId="0" xfId="0" applyFont="1" applyFill="1" applyAlignment="1">
      <alignment horizontal="left" vertical="top"/>
    </xf>
    <xf numFmtId="10" fontId="8" fillId="2" borderId="0" xfId="1" quotePrefix="1" applyNumberFormat="1" applyFill="1" applyAlignment="1">
      <alignment horizontal="left" vertical="top"/>
    </xf>
    <xf numFmtId="10" fontId="9" fillId="2" borderId="0" xfId="1" quotePrefix="1" applyNumberFormat="1" applyFont="1" applyFill="1" applyAlignment="1">
      <alignment horizontal="left" vertical="top"/>
    </xf>
    <xf numFmtId="167" fontId="8" fillId="2" borderId="0" xfId="0" applyFont="1" applyFill="1" applyAlignment="1">
      <alignment horizontal="left" vertical="top"/>
    </xf>
    <xf numFmtId="166" fontId="8" fillId="7" borderId="20" xfId="0" applyNumberFormat="1" applyFont="1" applyFill="1" applyBorder="1" applyAlignment="1">
      <alignment horizontal="left" vertical="top"/>
    </xf>
    <xf numFmtId="166" fontId="8" fillId="0" borderId="1" xfId="0" applyNumberFormat="1" applyFont="1" applyBorder="1" applyAlignment="1">
      <alignment horizontal="left" vertical="top"/>
    </xf>
    <xf numFmtId="166" fontId="8" fillId="0" borderId="2" xfId="0" applyNumberFormat="1" applyFont="1" applyBorder="1" applyAlignment="1">
      <alignment horizontal="left" vertical="top"/>
    </xf>
    <xf numFmtId="10" fontId="14" fillId="0" borderId="0" xfId="1" applyNumberFormat="1" applyFont="1" applyAlignment="1">
      <alignment horizontal="left" vertical="top" indent="1"/>
    </xf>
    <xf numFmtId="9" fontId="14" fillId="0" borderId="0" xfId="0" applyNumberFormat="1" applyFont="1" applyAlignment="1">
      <alignment horizontal="left" vertical="top" indent="1"/>
    </xf>
    <xf numFmtId="167" fontId="14" fillId="0" borderId="0" xfId="0" quotePrefix="1" applyFont="1" applyAlignment="1">
      <alignment horizontal="left" vertical="top" indent="1"/>
    </xf>
    <xf numFmtId="10" fontId="9" fillId="11" borderId="0" xfId="1" quotePrefix="1" applyNumberFormat="1" applyFont="1" applyFill="1" applyAlignment="1">
      <alignment horizontal="left" vertical="top"/>
    </xf>
    <xf numFmtId="167" fontId="28" fillId="0" borderId="0" xfId="0" applyFont="1" applyAlignment="1">
      <alignment vertical="top"/>
    </xf>
    <xf numFmtId="2" fontId="9" fillId="8" borderId="50" xfId="0" applyNumberFormat="1" applyFont="1" applyFill="1" applyBorder="1" applyAlignment="1">
      <alignment horizontal="left" vertical="top"/>
    </xf>
    <xf numFmtId="2" fontId="27" fillId="13" borderId="22" xfId="0" applyNumberFormat="1" applyFont="1" applyFill="1" applyBorder="1" applyAlignment="1">
      <alignment horizontal="left" vertical="top"/>
    </xf>
    <xf numFmtId="9" fontId="8" fillId="0" borderId="53" xfId="1" applyBorder="1" applyAlignment="1">
      <alignment horizontal="left" vertical="top"/>
    </xf>
    <xf numFmtId="167" fontId="8" fillId="0" borderId="54" xfId="0" applyFont="1" applyBorder="1" applyAlignment="1">
      <alignment horizontal="left" vertical="top"/>
    </xf>
    <xf numFmtId="2" fontId="8" fillId="0" borderId="52" xfId="0" applyNumberFormat="1" applyFont="1" applyBorder="1" applyAlignment="1">
      <alignment horizontal="left" vertical="top"/>
    </xf>
    <xf numFmtId="167" fontId="14" fillId="0" borderId="0" xfId="0" applyFont="1" applyAlignment="1">
      <alignment horizontal="left" vertical="top" indent="1"/>
    </xf>
    <xf numFmtId="167" fontId="16" fillId="0" borderId="0" xfId="0" applyFont="1" applyAlignment="1">
      <alignment horizontal="left" vertical="top" indent="1"/>
    </xf>
    <xf numFmtId="166" fontId="21" fillId="0" borderId="4" xfId="1" applyNumberFormat="1" applyFont="1" applyBorder="1" applyAlignment="1">
      <alignment horizontal="left" vertical="top"/>
    </xf>
    <xf numFmtId="166" fontId="8" fillId="3" borderId="2" xfId="0" applyNumberFormat="1" applyFont="1" applyFill="1" applyBorder="1" applyAlignment="1">
      <alignment horizontal="left" vertical="top"/>
    </xf>
    <xf numFmtId="166" fontId="21" fillId="0" borderId="0" xfId="1" applyNumberFormat="1" applyFont="1" applyAlignment="1">
      <alignment horizontal="left" vertical="top"/>
    </xf>
    <xf numFmtId="166" fontId="8" fillId="0" borderId="8" xfId="1" applyNumberFormat="1" applyBorder="1" applyAlignment="1">
      <alignment horizontal="left" vertical="top" indent="1"/>
    </xf>
    <xf numFmtId="166" fontId="21" fillId="0" borderId="3" xfId="1" applyNumberFormat="1" applyFont="1" applyBorder="1" applyAlignment="1">
      <alignment horizontal="left" vertical="top"/>
    </xf>
    <xf numFmtId="166" fontId="14" fillId="0" borderId="8" xfId="0" applyNumberFormat="1" applyFont="1" applyBorder="1" applyAlignment="1">
      <alignment horizontal="left" vertical="top" indent="1"/>
    </xf>
    <xf numFmtId="166" fontId="8" fillId="3" borderId="2" xfId="1" applyNumberFormat="1" applyFill="1" applyBorder="1" applyAlignment="1">
      <alignment horizontal="left" vertical="top"/>
    </xf>
    <xf numFmtId="166" fontId="8" fillId="7" borderId="2" xfId="1" applyNumberFormat="1" applyFill="1" applyBorder="1" applyAlignment="1">
      <alignment horizontal="left" vertical="top" indent="1"/>
    </xf>
    <xf numFmtId="166" fontId="8" fillId="7" borderId="2" xfId="1" applyNumberFormat="1" applyFill="1" applyBorder="1" applyAlignment="1">
      <alignment horizontal="left" vertical="top"/>
    </xf>
    <xf numFmtId="166" fontId="8" fillId="0" borderId="2" xfId="1" applyNumberFormat="1" applyBorder="1" applyAlignment="1">
      <alignment horizontal="left" vertical="top"/>
    </xf>
    <xf numFmtId="166" fontId="8" fillId="0" borderId="9" xfId="1" applyNumberFormat="1" applyBorder="1" applyAlignment="1">
      <alignment horizontal="left" vertical="top"/>
    </xf>
    <xf numFmtId="166" fontId="8" fillId="0" borderId="0" xfId="1" quotePrefix="1" applyNumberFormat="1" applyAlignment="1">
      <alignment horizontal="left" vertical="top"/>
    </xf>
    <xf numFmtId="166" fontId="28" fillId="0" borderId="0" xfId="1" quotePrefix="1" applyNumberFormat="1" applyFont="1" applyAlignment="1">
      <alignment horizontal="left" vertical="top"/>
    </xf>
    <xf numFmtId="166" fontId="8" fillId="7" borderId="2" xfId="1" quotePrefix="1" applyNumberFormat="1" applyFill="1" applyBorder="1" applyAlignment="1">
      <alignment horizontal="left" vertical="top"/>
    </xf>
    <xf numFmtId="165" fontId="8" fillId="10" borderId="48" xfId="0" applyNumberFormat="1" applyFont="1" applyFill="1" applyBorder="1" applyAlignment="1">
      <alignment horizontal="left" vertical="top"/>
    </xf>
    <xf numFmtId="165" fontId="8" fillId="10" borderId="49" xfId="0" applyNumberFormat="1" applyFont="1" applyFill="1" applyBorder="1" applyAlignment="1">
      <alignment horizontal="left" vertical="top"/>
    </xf>
    <xf numFmtId="165" fontId="8" fillId="13" borderId="20" xfId="0" applyNumberFormat="1" applyFont="1" applyFill="1" applyBorder="1" applyAlignment="1">
      <alignment horizontal="left" vertical="top"/>
    </xf>
    <xf numFmtId="165" fontId="8" fillId="13" borderId="21" xfId="0" applyNumberFormat="1" applyFont="1" applyFill="1" applyBorder="1" applyAlignment="1">
      <alignment horizontal="left" vertical="top"/>
    </xf>
    <xf numFmtId="165" fontId="8" fillId="13" borderId="51" xfId="0" applyNumberFormat="1" applyFont="1" applyFill="1" applyBorder="1" applyAlignment="1">
      <alignment horizontal="left" vertical="top"/>
    </xf>
    <xf numFmtId="166" fontId="8" fillId="7" borderId="22" xfId="0" applyNumberFormat="1" applyFont="1" applyFill="1" applyBorder="1" applyAlignment="1">
      <alignment horizontal="left" vertical="top"/>
    </xf>
    <xf numFmtId="10" fontId="3" fillId="0" borderId="0" xfId="1" quotePrefix="1" applyNumberFormat="1" applyFont="1" applyAlignment="1">
      <alignment horizontal="left" vertical="top"/>
    </xf>
    <xf numFmtId="166" fontId="8" fillId="3" borderId="0" xfId="0" applyNumberFormat="1" applyFont="1" applyFill="1" applyAlignment="1">
      <alignment horizontal="left" vertical="top"/>
    </xf>
    <xf numFmtId="166" fontId="8" fillId="0" borderId="0" xfId="1" applyNumberFormat="1" applyAlignment="1">
      <alignment horizontal="left" vertical="top" indent="1"/>
    </xf>
    <xf numFmtId="166" fontId="14" fillId="0" borderId="0" xfId="0" applyNumberFormat="1" applyFont="1" applyAlignment="1">
      <alignment horizontal="left" vertical="top" indent="1"/>
    </xf>
    <xf numFmtId="9" fontId="8" fillId="3" borderId="0" xfId="0" applyNumberFormat="1" applyFont="1" applyFill="1" applyAlignment="1">
      <alignment horizontal="left" vertical="top"/>
    </xf>
    <xf numFmtId="166" fontId="8" fillId="7" borderId="0" xfId="1" applyNumberFormat="1" applyFill="1" applyAlignment="1">
      <alignment horizontal="left" vertical="top"/>
    </xf>
    <xf numFmtId="166" fontId="8" fillId="0" borderId="0" xfId="1" applyNumberFormat="1" applyAlignment="1">
      <alignment horizontal="left" vertical="top"/>
    </xf>
    <xf numFmtId="2" fontId="8" fillId="3" borderId="0" xfId="0" applyNumberFormat="1" applyFont="1" applyFill="1" applyAlignment="1">
      <alignment horizontal="left" vertical="top"/>
    </xf>
    <xf numFmtId="2" fontId="14" fillId="0" borderId="0" xfId="0" applyNumberFormat="1" applyFont="1" applyAlignment="1">
      <alignment horizontal="left" vertical="top" indent="1"/>
    </xf>
    <xf numFmtId="166" fontId="8" fillId="7" borderId="0" xfId="1" quotePrefix="1" applyNumberFormat="1" applyFill="1" applyAlignment="1">
      <alignment horizontal="left" vertical="top"/>
    </xf>
    <xf numFmtId="167" fontId="32" fillId="4" borderId="0" xfId="0" applyFont="1" applyFill="1" applyAlignment="1">
      <alignment horizontal="left" vertical="top"/>
    </xf>
    <xf numFmtId="167" fontId="19" fillId="4" borderId="0" xfId="0" applyFont="1" applyFill="1" applyAlignment="1">
      <alignment vertical="top"/>
    </xf>
    <xf numFmtId="167" fontId="19" fillId="4" borderId="0" xfId="0" quotePrefix="1" applyFont="1" applyFill="1" applyAlignment="1">
      <alignment horizontal="left" vertical="top"/>
    </xf>
    <xf numFmtId="10" fontId="53" fillId="0" borderId="0" xfId="1" applyNumberFormat="1" applyFont="1" applyAlignment="1">
      <alignment horizontal="left" vertical="top"/>
    </xf>
    <xf numFmtId="167" fontId="10" fillId="0" borderId="0" xfId="0" applyFont="1" applyAlignment="1">
      <alignment horizontal="left" vertical="top"/>
    </xf>
    <xf numFmtId="167" fontId="16" fillId="0" borderId="0" xfId="0" applyFont="1" applyAlignment="1">
      <alignment horizontal="left" vertical="top"/>
    </xf>
    <xf numFmtId="167" fontId="51" fillId="0" borderId="0" xfId="0" quotePrefix="1" applyFont="1" applyAlignment="1">
      <alignment horizontal="left" vertical="top"/>
    </xf>
    <xf numFmtId="167" fontId="53" fillId="0" borderId="0" xfId="0" applyFont="1" applyAlignment="1">
      <alignment horizontal="left" vertical="top"/>
    </xf>
    <xf numFmtId="0" fontId="11" fillId="0" borderId="0" xfId="0" applyNumberFormat="1" applyFont="1" applyAlignment="1">
      <alignment horizontal="left" vertical="top"/>
    </xf>
    <xf numFmtId="0" fontId="11" fillId="3" borderId="0" xfId="0" applyNumberFormat="1" applyFont="1" applyFill="1" applyAlignment="1">
      <alignment horizontal="left" vertical="top"/>
    </xf>
    <xf numFmtId="166" fontId="8" fillId="0" borderId="9" xfId="0" applyNumberFormat="1" applyFont="1" applyBorder="1" applyAlignment="1">
      <alignment horizontal="left"/>
    </xf>
    <xf numFmtId="10" fontId="28" fillId="0" borderId="9" xfId="0" applyNumberFormat="1" applyFont="1" applyBorder="1" applyAlignment="1">
      <alignment horizontal="left" vertical="top"/>
    </xf>
    <xf numFmtId="10" fontId="8" fillId="0" borderId="9" xfId="0" applyNumberFormat="1" applyFont="1" applyBorder="1" applyAlignment="1">
      <alignment horizontal="left"/>
    </xf>
    <xf numFmtId="9" fontId="8" fillId="0" borderId="0" xfId="0" applyNumberFormat="1" applyFont="1" applyAlignment="1">
      <alignment horizontal="left"/>
    </xf>
    <xf numFmtId="10" fontId="0" fillId="0" borderId="9" xfId="0" applyNumberFormat="1" applyBorder="1" applyAlignment="1">
      <alignment horizontal="left"/>
    </xf>
    <xf numFmtId="167" fontId="25" fillId="0" borderId="0" xfId="0" applyFont="1"/>
    <xf numFmtId="10" fontId="25" fillId="0" borderId="0" xfId="0" applyNumberFormat="1" applyFont="1" applyAlignment="1">
      <alignment horizontal="left"/>
    </xf>
    <xf numFmtId="10" fontId="67" fillId="0" borderId="0" xfId="0" applyNumberFormat="1" applyFont="1" applyAlignment="1">
      <alignment horizontal="left"/>
    </xf>
    <xf numFmtId="10" fontId="67" fillId="0" borderId="0" xfId="1" applyNumberFormat="1" applyFont="1" applyAlignment="1">
      <alignment horizontal="left"/>
    </xf>
    <xf numFmtId="167" fontId="25" fillId="18" borderId="0" xfId="0" applyFont="1" applyFill="1"/>
    <xf numFmtId="10" fontId="25" fillId="18" borderId="0" xfId="1" applyNumberFormat="1" applyFont="1" applyFill="1" applyAlignment="1">
      <alignment horizontal="left"/>
    </xf>
    <xf numFmtId="9" fontId="68" fillId="0" borderId="0" xfId="0" applyNumberFormat="1" applyFont="1" applyAlignment="1">
      <alignment horizontal="left"/>
    </xf>
    <xf numFmtId="167" fontId="14" fillId="18" borderId="0" xfId="0" applyFont="1" applyFill="1" applyAlignment="1">
      <alignment horizontal="left"/>
    </xf>
    <xf numFmtId="166" fontId="3" fillId="0" borderId="0" xfId="0" applyNumberFormat="1" applyFont="1" applyAlignment="1">
      <alignment horizontal="left" indent="1"/>
    </xf>
    <xf numFmtId="2" fontId="9" fillId="0" borderId="16" xfId="0" applyNumberFormat="1" applyFont="1" applyBorder="1" applyAlignment="1">
      <alignment horizontal="left"/>
    </xf>
    <xf numFmtId="2" fontId="43" fillId="0" borderId="16" xfId="0" applyNumberFormat="1" applyFont="1" applyBorder="1" applyAlignment="1">
      <alignment horizontal="left"/>
    </xf>
    <xf numFmtId="9" fontId="9" fillId="0" borderId="0" xfId="0" quotePrefix="1" applyNumberFormat="1" applyFont="1" applyAlignment="1">
      <alignment horizontal="left"/>
    </xf>
    <xf numFmtId="9" fontId="9" fillId="0" borderId="0" xfId="0" applyNumberFormat="1" applyFont="1" applyAlignment="1">
      <alignment horizontal="left"/>
    </xf>
    <xf numFmtId="9" fontId="9" fillId="0" borderId="9" xfId="0" applyNumberFormat="1" applyFont="1" applyBorder="1" applyAlignment="1">
      <alignment horizontal="left"/>
    </xf>
    <xf numFmtId="2" fontId="9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67" fontId="51" fillId="0" borderId="9" xfId="0" applyFont="1" applyBorder="1"/>
    <xf numFmtId="167" fontId="51" fillId="0" borderId="0" xfId="0" applyFont="1"/>
    <xf numFmtId="167" fontId="51" fillId="0" borderId="16" xfId="0" applyFont="1" applyBorder="1"/>
    <xf numFmtId="10" fontId="8" fillId="0" borderId="16" xfId="0" applyNumberFormat="1" applyFont="1" applyBorder="1" applyAlignment="1">
      <alignment horizontal="left"/>
    </xf>
    <xf numFmtId="167" fontId="74" fillId="0" borderId="0" xfId="0" applyFont="1"/>
    <xf numFmtId="167" fontId="74" fillId="0" borderId="9" xfId="0" applyFont="1" applyBorder="1"/>
    <xf numFmtId="167" fontId="51" fillId="0" borderId="0" xfId="0" applyFont="1" applyAlignment="1">
      <alignment horizontal="left" indent="1"/>
    </xf>
    <xf numFmtId="167" fontId="74" fillId="0" borderId="16" xfId="0" applyFont="1" applyBorder="1"/>
    <xf numFmtId="10" fontId="8" fillId="6" borderId="2" xfId="0" applyNumberFormat="1" applyFont="1" applyFill="1" applyBorder="1" applyAlignment="1">
      <alignment horizontal="left" vertical="top"/>
    </xf>
    <xf numFmtId="167" fontId="16" fillId="19" borderId="0" xfId="0" applyFont="1" applyFill="1" applyAlignment="1">
      <alignment vertical="top"/>
    </xf>
    <xf numFmtId="1" fontId="8" fillId="19" borderId="0" xfId="0" applyNumberFormat="1" applyFont="1" applyFill="1" applyAlignment="1">
      <alignment horizontal="left" vertical="top"/>
    </xf>
    <xf numFmtId="1" fontId="27" fillId="19" borderId="0" xfId="0" applyNumberFormat="1" applyFont="1" applyFill="1" applyAlignment="1">
      <alignment horizontal="left" vertical="top"/>
    </xf>
    <xf numFmtId="2" fontId="74" fillId="8" borderId="0" xfId="0" applyNumberFormat="1" applyFont="1" applyFill="1" applyAlignment="1">
      <alignment horizontal="left" vertical="top"/>
    </xf>
    <xf numFmtId="10" fontId="14" fillId="0" borderId="0" xfId="1" quotePrefix="1" applyNumberFormat="1" applyFont="1" applyAlignment="1">
      <alignment horizontal="left" vertical="top"/>
    </xf>
    <xf numFmtId="0" fontId="14" fillId="0" borderId="3" xfId="0" applyNumberFormat="1" applyFont="1" applyBorder="1" applyAlignment="1">
      <alignment horizontal="left" vertical="top"/>
    </xf>
    <xf numFmtId="0" fontId="14" fillId="0" borderId="0" xfId="0" applyNumberFormat="1" applyFont="1" applyAlignment="1">
      <alignment horizontal="left" vertical="top"/>
    </xf>
    <xf numFmtId="0" fontId="14" fillId="0" borderId="0" xfId="2" applyNumberFormat="1" applyFont="1" applyAlignment="1">
      <alignment horizontal="left" vertical="top"/>
    </xf>
    <xf numFmtId="165" fontId="14" fillId="0" borderId="0" xfId="0" applyNumberFormat="1" applyFont="1" applyAlignment="1">
      <alignment horizontal="left" vertical="top"/>
    </xf>
    <xf numFmtId="165" fontId="44" fillId="0" borderId="0" xfId="0" applyNumberFormat="1" applyFont="1" applyAlignment="1">
      <alignment horizontal="left" vertical="top"/>
    </xf>
    <xf numFmtId="9" fontId="8" fillId="0" borderId="0" xfId="1" quotePrefix="1" applyAlignment="1">
      <alignment horizontal="left" vertical="top" indent="1"/>
    </xf>
    <xf numFmtId="9" fontId="9" fillId="0" borderId="0" xfId="1" quotePrefix="1" applyFont="1" applyAlignment="1">
      <alignment horizontal="left" vertical="top" indent="1"/>
    </xf>
    <xf numFmtId="166" fontId="14" fillId="0" borderId="0" xfId="1" applyNumberFormat="1" applyFont="1" applyAlignment="1">
      <alignment horizontal="left" vertical="top"/>
    </xf>
    <xf numFmtId="166" fontId="44" fillId="0" borderId="0" xfId="1" applyNumberFormat="1" applyFont="1" applyAlignment="1">
      <alignment horizontal="left" vertical="top"/>
    </xf>
    <xf numFmtId="0" fontId="18" fillId="0" borderId="0" xfId="15" applyFont="1" applyAlignment="1">
      <alignment horizontal="right" vertical="top"/>
    </xf>
    <xf numFmtId="167" fontId="0" fillId="18" borderId="0" xfId="0" applyFill="1" applyAlignment="1">
      <alignment horizontal="right" vertical="top"/>
    </xf>
    <xf numFmtId="0" fontId="62" fillId="0" borderId="7" xfId="15" applyFont="1" applyBorder="1" applyAlignment="1">
      <alignment horizontal="right" vertical="top"/>
    </xf>
    <xf numFmtId="10" fontId="64" fillId="0" borderId="17" xfId="15" applyNumberFormat="1" applyFont="1" applyBorder="1" applyAlignment="1">
      <alignment horizontal="left" vertical="center"/>
    </xf>
    <xf numFmtId="165" fontId="14" fillId="0" borderId="55" xfId="0" applyNumberFormat="1" applyFont="1" applyBorder="1" applyAlignment="1">
      <alignment horizontal="left"/>
    </xf>
    <xf numFmtId="165" fontId="18" fillId="0" borderId="0" xfId="15" applyNumberFormat="1" applyFont="1" applyAlignment="1">
      <alignment horizontal="left" vertical="center"/>
    </xf>
    <xf numFmtId="9" fontId="14" fillId="0" borderId="0" xfId="0" applyNumberFormat="1" applyFont="1" applyAlignment="1">
      <alignment horizontal="left" vertical="top"/>
    </xf>
    <xf numFmtId="9" fontId="62" fillId="0" borderId="2" xfId="15" applyNumberFormat="1" applyFont="1" applyBorder="1" applyAlignment="1">
      <alignment vertical="center"/>
    </xf>
    <xf numFmtId="9" fontId="18" fillId="0" borderId="41" xfId="15" applyNumberFormat="1" applyFont="1" applyBorder="1" applyAlignment="1">
      <alignment vertical="center"/>
    </xf>
    <xf numFmtId="2" fontId="14" fillId="0" borderId="0" xfId="1" applyNumberFormat="1" applyFont="1" applyAlignment="1">
      <alignment horizontal="left" vertical="top"/>
    </xf>
    <xf numFmtId="2" fontId="62" fillId="0" borderId="2" xfId="15" applyNumberFormat="1" applyFont="1" applyBorder="1" applyAlignment="1">
      <alignment horizontal="left" vertical="center"/>
    </xf>
    <xf numFmtId="2" fontId="58" fillId="0" borderId="42" xfId="16" applyNumberFormat="1" applyFont="1" applyBorder="1" applyAlignment="1" applyProtection="1">
      <alignment horizontal="left" vertical="center"/>
    </xf>
    <xf numFmtId="2" fontId="44" fillId="0" borderId="0" xfId="1" applyNumberFormat="1" applyFont="1" applyAlignment="1">
      <alignment horizontal="left" vertical="top"/>
    </xf>
    <xf numFmtId="2" fontId="64" fillId="0" borderId="2" xfId="15" applyNumberFormat="1" applyFont="1" applyBorder="1" applyAlignment="1">
      <alignment horizontal="left" vertical="center"/>
    </xf>
    <xf numFmtId="2" fontId="75" fillId="0" borderId="42" xfId="16" applyNumberFormat="1" applyFont="1" applyBorder="1" applyAlignment="1" applyProtection="1">
      <alignment horizontal="left" vertical="center"/>
    </xf>
    <xf numFmtId="2" fontId="76" fillId="0" borderId="2" xfId="15" applyNumberFormat="1" applyFont="1" applyBorder="1" applyAlignment="1">
      <alignment horizontal="left" vertical="center"/>
    </xf>
    <xf numFmtId="2" fontId="77" fillId="0" borderId="42" xfId="16" applyNumberFormat="1" applyFont="1" applyBorder="1" applyAlignment="1" applyProtection="1">
      <alignment horizontal="left" vertical="center"/>
    </xf>
    <xf numFmtId="2" fontId="62" fillId="0" borderId="0" xfId="15" applyNumberFormat="1" applyFont="1" applyAlignment="1">
      <alignment horizontal="left" vertical="center"/>
    </xf>
    <xf numFmtId="2" fontId="76" fillId="0" borderId="0" xfId="15" applyNumberFormat="1" applyFont="1" applyAlignment="1">
      <alignment horizontal="left" vertical="center"/>
    </xf>
    <xf numFmtId="2" fontId="75" fillId="0" borderId="0" xfId="16" applyNumberFormat="1" applyFont="1" applyAlignment="1" applyProtection="1">
      <alignment horizontal="left" vertical="center"/>
    </xf>
    <xf numFmtId="2" fontId="58" fillId="0" borderId="0" xfId="16" applyNumberFormat="1" applyFont="1" applyAlignment="1" applyProtection="1">
      <alignment horizontal="left" vertical="center"/>
    </xf>
    <xf numFmtId="2" fontId="77" fillId="0" borderId="0" xfId="16" applyNumberFormat="1" applyFont="1" applyAlignment="1" applyProtection="1">
      <alignment horizontal="left" vertical="center"/>
    </xf>
    <xf numFmtId="0" fontId="44" fillId="0" borderId="3" xfId="0" applyNumberFormat="1" applyFont="1" applyBorder="1" applyAlignment="1">
      <alignment horizontal="left" vertical="top"/>
    </xf>
    <xf numFmtId="0" fontId="76" fillId="0" borderId="0" xfId="15" applyFont="1" applyAlignment="1">
      <alignment vertical="center"/>
    </xf>
    <xf numFmtId="0" fontId="77" fillId="0" borderId="41" xfId="15" applyFont="1" applyBorder="1" applyAlignment="1">
      <alignment vertical="center"/>
    </xf>
    <xf numFmtId="167" fontId="79" fillId="16" borderId="35" xfId="0" applyFont="1" applyFill="1" applyBorder="1" applyAlignment="1">
      <alignment vertical="top" wrapText="1"/>
    </xf>
    <xf numFmtId="167" fontId="79" fillId="17" borderId="37" xfId="0" applyFont="1" applyFill="1" applyBorder="1" applyAlignment="1">
      <alignment vertical="top" wrapText="1"/>
    </xf>
    <xf numFmtId="167" fontId="79" fillId="17" borderId="57" xfId="0" applyFont="1" applyFill="1" applyBorder="1" applyAlignment="1">
      <alignment vertical="top" wrapText="1"/>
    </xf>
    <xf numFmtId="167" fontId="80" fillId="0" borderId="41" xfId="0" applyFont="1" applyBorder="1" applyAlignment="1">
      <alignment vertical="top" wrapText="1"/>
    </xf>
    <xf numFmtId="0" fontId="80" fillId="0" borderId="41" xfId="0" applyNumberFormat="1" applyFont="1" applyBorder="1" applyAlignment="1">
      <alignment vertical="top" wrapText="1"/>
    </xf>
    <xf numFmtId="0" fontId="78" fillId="0" borderId="41" xfId="0" applyNumberFormat="1" applyFont="1" applyBorder="1" applyAlignment="1">
      <alignment vertical="top" wrapText="1"/>
    </xf>
    <xf numFmtId="0" fontId="78" fillId="0" borderId="42" xfId="0" applyNumberFormat="1" applyFont="1" applyBorder="1" applyAlignment="1">
      <alignment vertical="top" wrapText="1"/>
    </xf>
    <xf numFmtId="0" fontId="80" fillId="0" borderId="41" xfId="0" applyNumberFormat="1" applyFont="1" applyBorder="1" applyAlignment="1">
      <alignment horizontal="center" vertical="top" wrapText="1"/>
    </xf>
    <xf numFmtId="0" fontId="80" fillId="0" borderId="42" xfId="0" applyNumberFormat="1" applyFont="1" applyBorder="1" applyAlignment="1">
      <alignment vertical="top" wrapText="1"/>
    </xf>
    <xf numFmtId="0" fontId="62" fillId="20" borderId="2" xfId="15" applyFont="1" applyFill="1" applyBorder="1" applyAlignment="1">
      <alignment vertical="center"/>
    </xf>
    <xf numFmtId="0" fontId="62" fillId="20" borderId="2" xfId="15" applyFont="1" applyFill="1" applyBorder="1" applyAlignment="1">
      <alignment horizontal="left" vertical="center"/>
    </xf>
    <xf numFmtId="14" fontId="62" fillId="20" borderId="2" xfId="15" applyNumberFormat="1" applyFont="1" applyFill="1" applyBorder="1" applyAlignment="1">
      <alignment horizontal="center" vertical="center"/>
    </xf>
    <xf numFmtId="10" fontId="62" fillId="20" borderId="2" xfId="15" applyNumberFormat="1" applyFont="1" applyFill="1" applyBorder="1" applyAlignment="1">
      <alignment horizontal="left" vertical="center"/>
    </xf>
    <xf numFmtId="0" fontId="18" fillId="20" borderId="2" xfId="15" applyFont="1" applyFill="1" applyBorder="1" applyAlignment="1">
      <alignment horizontal="left" vertical="center"/>
    </xf>
    <xf numFmtId="10" fontId="18" fillId="20" borderId="2" xfId="15" applyNumberFormat="1" applyFont="1" applyFill="1" applyBorder="1" applyAlignment="1">
      <alignment horizontal="left" vertical="center"/>
    </xf>
    <xf numFmtId="0" fontId="18" fillId="21" borderId="2" xfId="15" applyFont="1" applyFill="1" applyBorder="1" applyAlignment="1">
      <alignment horizontal="left" vertical="center"/>
    </xf>
    <xf numFmtId="10" fontId="18" fillId="21" borderId="2" xfId="15" applyNumberFormat="1" applyFont="1" applyFill="1" applyBorder="1" applyAlignment="1">
      <alignment horizontal="left" vertical="center"/>
    </xf>
    <xf numFmtId="0" fontId="62" fillId="21" borderId="2" xfId="15" applyFont="1" applyFill="1" applyBorder="1" applyAlignment="1">
      <alignment vertical="center"/>
    </xf>
    <xf numFmtId="0" fontId="62" fillId="21" borderId="2" xfId="15" applyFont="1" applyFill="1" applyBorder="1" applyAlignment="1">
      <alignment horizontal="left" vertical="center"/>
    </xf>
    <xf numFmtId="14" fontId="62" fillId="21" borderId="2" xfId="15" applyNumberFormat="1" applyFont="1" applyFill="1" applyBorder="1" applyAlignment="1">
      <alignment horizontal="center" vertical="center"/>
    </xf>
    <xf numFmtId="10" fontId="62" fillId="21" borderId="2" xfId="15" applyNumberFormat="1" applyFont="1" applyFill="1" applyBorder="1" applyAlignment="1">
      <alignment horizontal="left" vertical="center"/>
    </xf>
    <xf numFmtId="10" fontId="24" fillId="20" borderId="2" xfId="15" applyNumberFormat="1" applyFont="1" applyFill="1" applyBorder="1" applyAlignment="1">
      <alignment horizontal="left" vertical="center"/>
    </xf>
    <xf numFmtId="0" fontId="65" fillId="20" borderId="2" xfId="15" applyFont="1" applyFill="1" applyBorder="1" applyAlignment="1">
      <alignment horizontal="left" vertical="center"/>
    </xf>
    <xf numFmtId="10" fontId="65" fillId="20" borderId="2" xfId="15" applyNumberFormat="1" applyFont="1" applyFill="1" applyBorder="1" applyAlignment="1">
      <alignment horizontal="left" vertical="center"/>
    </xf>
    <xf numFmtId="169" fontId="18" fillId="22" borderId="2" xfId="15" applyNumberFormat="1" applyFont="1" applyFill="1" applyBorder="1" applyAlignment="1">
      <alignment horizontal="left" vertical="center"/>
    </xf>
    <xf numFmtId="0" fontId="0" fillId="18" borderId="0" xfId="0" applyNumberFormat="1" applyFill="1"/>
    <xf numFmtId="165" fontId="14" fillId="0" borderId="0" xfId="1" applyNumberFormat="1" applyFont="1" applyAlignment="1">
      <alignment horizontal="left" vertical="top"/>
    </xf>
    <xf numFmtId="1" fontId="9" fillId="3" borderId="8" xfId="0" applyNumberFormat="1" applyFont="1" applyFill="1" applyBorder="1" applyAlignment="1">
      <alignment horizontal="left" vertical="top"/>
    </xf>
    <xf numFmtId="2" fontId="44" fillId="0" borderId="0" xfId="0" applyNumberFormat="1" applyFont="1" applyAlignment="1">
      <alignment horizontal="left"/>
    </xf>
    <xf numFmtId="2" fontId="25" fillId="0" borderId="0" xfId="0" applyNumberFormat="1" applyFont="1" applyAlignment="1">
      <alignment horizontal="left" vertical="top"/>
    </xf>
    <xf numFmtId="10" fontId="44" fillId="0" borderId="0" xfId="1" quotePrefix="1" applyNumberFormat="1" applyFont="1" applyAlignment="1">
      <alignment horizontal="left" vertical="top"/>
    </xf>
    <xf numFmtId="167" fontId="81" fillId="0" borderId="0" xfId="0" applyFont="1" applyAlignment="1">
      <alignment horizontal="left" indent="1"/>
    </xf>
    <xf numFmtId="9" fontId="14" fillId="0" borderId="0" xfId="1" applyFont="1" applyAlignment="1">
      <alignment horizontal="left" indent="1"/>
    </xf>
    <xf numFmtId="9" fontId="44" fillId="0" borderId="0" xfId="1" applyFont="1" applyAlignment="1">
      <alignment horizontal="left" indent="1"/>
    </xf>
    <xf numFmtId="9" fontId="9" fillId="0" borderId="0" xfId="1" applyNumberFormat="1" applyFont="1" applyAlignment="1">
      <alignment horizontal="left"/>
    </xf>
    <xf numFmtId="9" fontId="0" fillId="0" borderId="16" xfId="1" applyFont="1" applyBorder="1" applyAlignment="1">
      <alignment horizontal="left"/>
    </xf>
    <xf numFmtId="9" fontId="43" fillId="0" borderId="16" xfId="1" applyFont="1" applyBorder="1" applyAlignment="1">
      <alignment horizontal="left"/>
    </xf>
    <xf numFmtId="9" fontId="9" fillId="0" borderId="16" xfId="1" applyFont="1" applyBorder="1" applyAlignment="1">
      <alignment horizontal="left"/>
    </xf>
    <xf numFmtId="9" fontId="0" fillId="0" borderId="0" xfId="1" applyFont="1" applyAlignment="1">
      <alignment horizontal="left" indent="1"/>
    </xf>
    <xf numFmtId="9" fontId="9" fillId="0" borderId="0" xfId="1" applyFont="1" applyAlignment="1">
      <alignment horizontal="left"/>
    </xf>
    <xf numFmtId="167" fontId="82" fillId="0" borderId="0" xfId="0" applyFont="1"/>
    <xf numFmtId="167" fontId="85" fillId="0" borderId="0" xfId="0" applyFont="1"/>
    <xf numFmtId="9" fontId="71" fillId="0" borderId="0" xfId="0" applyNumberFormat="1" applyFont="1" applyAlignment="1">
      <alignment horizontal="left"/>
    </xf>
    <xf numFmtId="9" fontId="88" fillId="0" borderId="0" xfId="0" applyNumberFormat="1" applyFont="1" applyAlignment="1">
      <alignment horizontal="left"/>
    </xf>
    <xf numFmtId="9" fontId="88" fillId="0" borderId="0" xfId="0" quotePrefix="1" applyNumberFormat="1" applyFont="1" applyAlignment="1">
      <alignment horizontal="left"/>
    </xf>
    <xf numFmtId="9" fontId="8" fillId="0" borderId="16" xfId="0" applyNumberFormat="1" applyFont="1" applyBorder="1" applyAlignment="1">
      <alignment horizontal="left"/>
    </xf>
    <xf numFmtId="9" fontId="9" fillId="0" borderId="16" xfId="0" applyNumberFormat="1" applyFont="1" applyBorder="1" applyAlignment="1">
      <alignment horizontal="left"/>
    </xf>
    <xf numFmtId="167" fontId="74" fillId="0" borderId="58" xfId="0" applyFont="1" applyBorder="1"/>
    <xf numFmtId="166" fontId="43" fillId="0" borderId="0" xfId="0" applyNumberFormat="1" applyFont="1" applyAlignment="1">
      <alignment horizontal="left" indent="1"/>
    </xf>
    <xf numFmtId="167" fontId="68" fillId="0" borderId="16" xfId="0" applyFont="1" applyBorder="1"/>
    <xf numFmtId="9" fontId="67" fillId="0" borderId="16" xfId="0" applyNumberFormat="1" applyFont="1" applyBorder="1" applyAlignment="1">
      <alignment horizontal="left"/>
    </xf>
    <xf numFmtId="9" fontId="25" fillId="0" borderId="16" xfId="0" applyNumberFormat="1" applyFont="1" applyBorder="1" applyAlignment="1">
      <alignment horizontal="left"/>
    </xf>
    <xf numFmtId="9" fontId="25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right"/>
    </xf>
    <xf numFmtId="10" fontId="16" fillId="0" borderId="0" xfId="0" applyNumberFormat="1" applyFont="1"/>
    <xf numFmtId="167" fontId="16" fillId="0" borderId="0" xfId="0" applyFont="1"/>
    <xf numFmtId="10" fontId="0" fillId="6" borderId="2" xfId="0" applyNumberFormat="1" applyFill="1" applyBorder="1" applyAlignment="1">
      <alignment horizontal="left"/>
    </xf>
    <xf numFmtId="10" fontId="28" fillId="0" borderId="0" xfId="0" applyNumberFormat="1" applyFont="1"/>
    <xf numFmtId="10" fontId="16" fillId="19" borderId="0" xfId="1" applyNumberFormat="1" applyFont="1" applyFill="1" applyAlignment="1">
      <alignment horizontal="left" vertical="top"/>
    </xf>
    <xf numFmtId="9" fontId="16" fillId="19" borderId="0" xfId="1" applyNumberFormat="1" applyFont="1" applyFill="1" applyAlignment="1">
      <alignment horizontal="left" vertical="top"/>
    </xf>
    <xf numFmtId="9" fontId="15" fillId="0" borderId="0" xfId="0" applyNumberFormat="1" applyFont="1" applyAlignment="1">
      <alignment horizontal="left" indent="1"/>
    </xf>
    <xf numFmtId="9" fontId="47" fillId="0" borderId="0" xfId="0" applyNumberFormat="1" applyFont="1" applyAlignment="1">
      <alignment horizontal="left" indent="1"/>
    </xf>
    <xf numFmtId="165" fontId="67" fillId="0" borderId="16" xfId="0" applyNumberFormat="1" applyFont="1" applyBorder="1" applyAlignment="1">
      <alignment horizontal="left"/>
    </xf>
    <xf numFmtId="165" fontId="25" fillId="0" borderId="16" xfId="0" applyNumberFormat="1" applyFont="1" applyBorder="1" applyAlignment="1">
      <alignment horizontal="left"/>
    </xf>
    <xf numFmtId="166" fontId="14" fillId="0" borderId="0" xfId="1" applyNumberFormat="1" applyFont="1" applyAlignment="1">
      <alignment horizontal="left"/>
    </xf>
    <xf numFmtId="167" fontId="8" fillId="8" borderId="7" xfId="0" applyFont="1" applyFill="1" applyBorder="1" applyAlignment="1">
      <alignment horizontal="left" vertical="top"/>
    </xf>
    <xf numFmtId="167" fontId="8" fillId="8" borderId="8" xfId="0" applyFont="1" applyFill="1" applyBorder="1" applyAlignment="1">
      <alignment horizontal="left" vertical="top"/>
    </xf>
    <xf numFmtId="167" fontId="14" fillId="0" borderId="3" xfId="0" applyFont="1" applyBorder="1" applyAlignment="1">
      <alignment horizontal="left" vertical="top" indent="1"/>
    </xf>
    <xf numFmtId="167" fontId="14" fillId="0" borderId="0" xfId="0" applyFont="1" applyAlignment="1">
      <alignment horizontal="left" vertical="top" indent="1"/>
    </xf>
    <xf numFmtId="0" fontId="21" fillId="0" borderId="3" xfId="0" applyNumberFormat="1" applyFont="1" applyBorder="1" applyAlignment="1">
      <alignment horizontal="left" vertical="top" indent="1"/>
    </xf>
    <xf numFmtId="0" fontId="21" fillId="0" borderId="0" xfId="0" applyNumberFormat="1" applyFont="1" applyAlignment="1">
      <alignment horizontal="left" vertical="top" indent="1"/>
    </xf>
    <xf numFmtId="167" fontId="14" fillId="0" borderId="10" xfId="0" applyFont="1" applyBorder="1" applyAlignment="1">
      <alignment horizontal="left" vertical="top" indent="1"/>
    </xf>
    <xf numFmtId="167" fontId="14" fillId="0" borderId="9" xfId="0" applyFont="1" applyBorder="1" applyAlignment="1">
      <alignment horizontal="left" vertical="top" indent="1"/>
    </xf>
    <xf numFmtId="167" fontId="8" fillId="0" borderId="3" xfId="0" applyFont="1" applyBorder="1" applyAlignment="1">
      <alignment horizontal="left" vertical="top" indent="1"/>
    </xf>
    <xf numFmtId="167" fontId="8" fillId="0" borderId="0" xfId="0" applyFont="1" applyAlignment="1">
      <alignment horizontal="left" vertical="top" indent="1"/>
    </xf>
    <xf numFmtId="0" fontId="15" fillId="0" borderId="3" xfId="0" applyNumberFormat="1" applyFont="1" applyBorder="1" applyAlignment="1">
      <alignment horizontal="left" vertical="top" indent="1"/>
    </xf>
    <xf numFmtId="0" fontId="15" fillId="0" borderId="0" xfId="0" applyNumberFormat="1" applyFont="1" applyAlignment="1">
      <alignment horizontal="left" vertical="top" indent="1"/>
    </xf>
    <xf numFmtId="167" fontId="8" fillId="0" borderId="3" xfId="0" applyFont="1" applyBorder="1" applyAlignment="1">
      <alignment horizontal="left" vertical="top"/>
    </xf>
    <xf numFmtId="167" fontId="8" fillId="0" borderId="0" xfId="0" applyFont="1" applyAlignment="1">
      <alignment horizontal="left" vertical="top"/>
    </xf>
    <xf numFmtId="167" fontId="14" fillId="0" borderId="0" xfId="0" applyFont="1" applyAlignment="1">
      <alignment horizontal="left" vertical="top"/>
    </xf>
    <xf numFmtId="10" fontId="32" fillId="9" borderId="0" xfId="0" applyNumberFormat="1" applyFont="1" applyFill="1" applyAlignment="1">
      <alignment horizontal="left" vertical="top"/>
    </xf>
    <xf numFmtId="0" fontId="8" fillId="0" borderId="3" xfId="0" applyNumberFormat="1" applyFont="1" applyBorder="1" applyAlignment="1">
      <alignment horizontal="left" vertical="top"/>
    </xf>
    <xf numFmtId="0" fontId="8" fillId="0" borderId="0" xfId="0" applyNumberFormat="1" applyFont="1" applyAlignment="1">
      <alignment horizontal="left" vertical="top"/>
    </xf>
    <xf numFmtId="167" fontId="9" fillId="11" borderId="0" xfId="0" applyFont="1" applyFill="1" applyAlignment="1">
      <alignment horizontal="left" vertical="top"/>
    </xf>
    <xf numFmtId="0" fontId="14" fillId="0" borderId="0" xfId="0" applyNumberFormat="1" applyFont="1" applyAlignment="1">
      <alignment horizontal="left" vertical="top"/>
    </xf>
    <xf numFmtId="0" fontId="18" fillId="0" borderId="33" xfId="15" applyFont="1" applyBorder="1" applyAlignment="1">
      <alignment vertical="center"/>
    </xf>
    <xf numFmtId="0" fontId="18" fillId="0" borderId="37" xfId="15" applyFont="1" applyBorder="1" applyAlignment="1">
      <alignment vertical="center"/>
    </xf>
    <xf numFmtId="0" fontId="18" fillId="16" borderId="34" xfId="15" applyFont="1" applyFill="1" applyBorder="1" applyAlignment="1">
      <alignment vertical="center"/>
    </xf>
    <xf numFmtId="0" fontId="18" fillId="0" borderId="35" xfId="15" applyFont="1" applyBorder="1"/>
    <xf numFmtId="0" fontId="18" fillId="16" borderId="36" xfId="15" applyFont="1" applyFill="1" applyBorder="1" applyAlignment="1">
      <alignment horizontal="left" vertical="center"/>
    </xf>
    <xf numFmtId="0" fontId="18" fillId="16" borderId="38" xfId="15" applyFont="1" applyFill="1" applyBorder="1" applyAlignment="1">
      <alignment horizontal="left" vertical="center"/>
    </xf>
    <xf numFmtId="167" fontId="78" fillId="0" borderId="33" xfId="0" applyFont="1" applyBorder="1" applyAlignment="1">
      <alignment vertical="top" wrapText="1"/>
    </xf>
    <xf numFmtId="167" fontId="78" fillId="0" borderId="37" xfId="0" applyFont="1" applyBorder="1" applyAlignment="1">
      <alignment vertical="top" wrapText="1"/>
    </xf>
    <xf numFmtId="167" fontId="79" fillId="16" borderId="34" xfId="0" applyFont="1" applyFill="1" applyBorder="1" applyAlignment="1">
      <alignment vertical="top" wrapText="1"/>
    </xf>
    <xf numFmtId="167" fontId="79" fillId="16" borderId="56" xfId="0" applyFont="1" applyFill="1" applyBorder="1" applyAlignment="1">
      <alignment vertical="top" wrapText="1"/>
    </xf>
    <xf numFmtId="167" fontId="79" fillId="16" borderId="35" xfId="0" applyFont="1" applyFill="1" applyBorder="1" applyAlignment="1">
      <alignment vertical="top" wrapText="1"/>
    </xf>
  </cellXfs>
  <cellStyles count="17">
    <cellStyle name="%" xfId="7" xr:uid="{00000000-0005-0000-0000-000000000000}"/>
    <cellStyle name="Lien hypertexte 2" xfId="6" xr:uid="{00000000-0005-0000-0000-000001000000}"/>
    <cellStyle name="Lien hypertexte 3" xfId="16" xr:uid="{00000000-0005-0000-0000-000002000000}"/>
    <cellStyle name="Milliers 2" xfId="8" xr:uid="{00000000-0005-0000-0000-000003000000}"/>
    <cellStyle name="Normal" xfId="0" builtinId="0"/>
    <cellStyle name="Normal 10 2" xfId="4" xr:uid="{00000000-0005-0000-0000-000005000000}"/>
    <cellStyle name="Normal 2" xfId="9" xr:uid="{00000000-0005-0000-0000-000006000000}"/>
    <cellStyle name="Normal 3" xfId="2" xr:uid="{00000000-0005-0000-0000-000007000000}"/>
    <cellStyle name="Normal 4" xfId="5" xr:uid="{00000000-0005-0000-0000-000008000000}"/>
    <cellStyle name="Normal 5" xfId="15" xr:uid="{00000000-0005-0000-0000-000009000000}"/>
    <cellStyle name="Pourcentage" xfId="1" builtinId="5"/>
    <cellStyle name="Pourcentage 2" xfId="10" xr:uid="{00000000-0005-0000-0000-00000B000000}"/>
    <cellStyle name="Standard_CO_Datasheet_Umbau" xfId="11" xr:uid="{00000000-0005-0000-0000-00000C000000}"/>
    <cellStyle name="Style 1" xfId="3" xr:uid="{00000000-0005-0000-0000-00000D000000}"/>
    <cellStyle name="Table - Number" xfId="12" xr:uid="{00000000-0005-0000-0000-00000E000000}"/>
    <cellStyle name="Table - Text" xfId="13" xr:uid="{00000000-0005-0000-0000-00000F000000}"/>
    <cellStyle name="Table - Text Bold" xfId="14" xr:uid="{00000000-0005-0000-0000-000010000000}"/>
  </cellStyles>
  <dxfs count="0"/>
  <tableStyles count="0" defaultTableStyle="TableStyleMedium9" defaultPivotStyle="PivotStyleLight16"/>
  <colors>
    <mruColors>
      <color rgb="FFFFFF99"/>
      <color rgb="FFFFFF66"/>
      <color rgb="FFCC0000"/>
      <color rgb="FFFFFFCC"/>
      <color rgb="FFFFC000"/>
      <color rgb="FFFFFF00"/>
      <color rgb="FFFFDC6D"/>
      <color rgb="FFFFD03B"/>
      <color rgb="FF00FA71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67482787729904E-2"/>
          <c:y val="4.2512338684815465E-2"/>
          <c:w val="0.87789899909186908"/>
          <c:h val="0.767066106981215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'To Ms Word B (to update)'!$C$4</c:f>
              <c:strCache>
                <c:ptCount val="1"/>
                <c:pt idx="0">
                  <c:v>F/M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'To Ms Word B (to update)'!$B$5:$B$25</c:f>
            </c:numRef>
          </c:xVal>
          <c:yVal>
            <c:numRef>
              <c:f>'To Ms Word B (to update)'!$C$5:$C$25</c:f>
            </c:numRef>
          </c:yVal>
          <c:smooth val="0"/>
          <c:extLst>
            <c:ext xmlns:c16="http://schemas.microsoft.com/office/drawing/2014/chart" uri="{C3380CC4-5D6E-409C-BE32-E72D297353CC}">
              <c16:uniqueId val="{00000000-29F9-4E6F-BBA1-5374E5455C1D}"/>
            </c:ext>
          </c:extLst>
        </c:ser>
        <c:ser>
          <c:idx val="1"/>
          <c:order val="1"/>
          <c:tx>
            <c:strRef>
              <c:f>'To Ms Word B (to update)'!$D$4</c:f>
              <c:strCache>
                <c:ptCount val="1"/>
                <c:pt idx="0">
                  <c:v>Copper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'To Ms Word B (to update)'!$B$5:$B$25</c:f>
            </c:numRef>
          </c:xVal>
          <c:yVal>
            <c:numRef>
              <c:f>'To Ms Word B (to update)'!$D$5:$D$25</c:f>
            </c:numRef>
          </c:yVal>
          <c:smooth val="0"/>
          <c:extLst>
            <c:ext xmlns:c16="http://schemas.microsoft.com/office/drawing/2014/chart" uri="{C3380CC4-5D6E-409C-BE32-E72D297353CC}">
              <c16:uniqueId val="{00000001-29F9-4E6F-BBA1-5374E5455C1D}"/>
            </c:ext>
          </c:extLst>
        </c:ser>
        <c:ser>
          <c:idx val="4"/>
          <c:order val="2"/>
          <c:tx>
            <c:strRef>
              <c:f>'To Ms Word B (to update)'!$G$4</c:f>
              <c:strCache>
                <c:ptCount val="1"/>
                <c:pt idx="0">
                  <c:v>Mobile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'To Ms Word B (to update)'!$B$5:$B$25</c:f>
            </c:numRef>
          </c:xVal>
          <c:yVal>
            <c:numRef>
              <c:f>'To Ms Word B (to update)'!$G$5:$G$25</c:f>
            </c:numRef>
          </c:yVal>
          <c:smooth val="0"/>
          <c:extLst>
            <c:ext xmlns:c16="http://schemas.microsoft.com/office/drawing/2014/chart" uri="{C3380CC4-5D6E-409C-BE32-E72D297353CC}">
              <c16:uniqueId val="{00000004-29F9-4E6F-BBA1-5374E5455C1D}"/>
            </c:ext>
          </c:extLst>
        </c:ser>
        <c:ser>
          <c:idx val="2"/>
          <c:order val="3"/>
          <c:tx>
            <c:strRef>
              <c:f>'To Ms Word B (to update)'!$E$4</c:f>
              <c:strCache>
                <c:ptCount val="1"/>
                <c:pt idx="0">
                  <c:v>"NGA"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'To Ms Word B (to update)'!$B$5:$B$25</c:f>
            </c:numRef>
          </c:xVal>
          <c:yVal>
            <c:numRef>
              <c:f>'To Ms Word B (to update)'!$E$5:$E$25</c:f>
            </c:numRef>
          </c:yVal>
          <c:smooth val="0"/>
          <c:extLst>
            <c:ext xmlns:c16="http://schemas.microsoft.com/office/drawing/2014/chart" uri="{C3380CC4-5D6E-409C-BE32-E72D297353CC}">
              <c16:uniqueId val="{00000002-29F9-4E6F-BBA1-5374E5455C1D}"/>
            </c:ext>
          </c:extLst>
        </c:ser>
        <c:ser>
          <c:idx val="3"/>
          <c:order val="4"/>
          <c:tx>
            <c:strRef>
              <c:f>'To Ms Word B (to update)'!$F$4</c:f>
              <c:strCache>
                <c:ptCount val="1"/>
                <c:pt idx="0">
                  <c:v>FttH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5"/>
            <c:marker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29F9-4E6F-BBA1-5374E5455C1D}"/>
              </c:ext>
            </c:extLst>
          </c:dPt>
          <c:dPt>
            <c:idx val="19"/>
            <c:marker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29F9-4E6F-BBA1-5374E5455C1D}"/>
              </c:ext>
            </c:extLst>
          </c:dPt>
          <c:xVal>
            <c:numRef>
              <c:f>'To Ms Word B (to update)'!$B$5:$B$25</c:f>
            </c:numRef>
          </c:xVal>
          <c:yVal>
            <c:numRef>
              <c:f>'To Ms Word B (to update)'!$F$5:$F$25</c:f>
            </c:numRef>
          </c:yVal>
          <c:smooth val="0"/>
          <c:extLst>
            <c:ext xmlns:c16="http://schemas.microsoft.com/office/drawing/2014/chart" uri="{C3380CC4-5D6E-409C-BE32-E72D297353CC}">
              <c16:uniqueId val="{00000003-29F9-4E6F-BBA1-5374E5455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266048"/>
        <c:axId val="107267584"/>
      </c:scatterChart>
      <c:valAx>
        <c:axId val="107266048"/>
        <c:scaling>
          <c:orientation val="minMax"/>
          <c:max val="43370"/>
          <c:min val="41518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mm/yyyy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07267584"/>
        <c:crosses val="autoZero"/>
        <c:crossBetween val="midCat"/>
        <c:majorUnit val="366"/>
      </c:valAx>
      <c:valAx>
        <c:axId val="107267584"/>
        <c:scaling>
          <c:orientation val="minMax"/>
          <c:max val="0.12000000000000002"/>
          <c:min val="4.000000000000002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07266048"/>
        <c:crosses val="autoZero"/>
        <c:crossBetween val="midCat"/>
        <c:majorUnit val="1.0000000000000005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94330197844677"/>
          <c:y val="0.92999051112383435"/>
          <c:w val="0.69564307442663875"/>
          <c:h val="7.00094888761658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965-4B04-9EE7-BDD10DD069A6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65-4B04-9EE7-BDD10DD069A6}"/>
              </c:ext>
            </c:extLst>
          </c:dPt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0965-4B04-9EE7-BDD10DD069A6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965-4B04-9EE7-BDD10DD069A6}"/>
                </c:ext>
              </c:extLst>
            </c:dLbl>
            <c:dLbl>
              <c:idx val="14"/>
              <c:layout>
                <c:manualLayout>
                  <c:x val="-4.6098624139808628E-2"/>
                  <c:y val="0"/>
                </c:manualLayout>
              </c:layout>
              <c:tx>
                <c:rich>
                  <a:bodyPr/>
                  <a:lstStyle/>
                  <a:p>
                    <a:fld id="{D39D95AF-996A-4EF8-8A71-DBF7E47D1E2F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0965-4B04-9EE7-BDD10DD069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 Ms Word B (to update)'!$B$97:$B$111</c:f>
              <c:strCache>
                <c:ptCount val="15"/>
                <c:pt idx="0">
                  <c:v>Esp 12/2017</c:v>
                </c:pt>
                <c:pt idx="1">
                  <c:v>Nld 03/2013</c:v>
                </c:pt>
                <c:pt idx="2">
                  <c:v>Deu 06/2017</c:v>
                </c:pt>
                <c:pt idx="3">
                  <c:v>Fin 05/2018</c:v>
                </c:pt>
                <c:pt idx="4">
                  <c:v>Lux 06/2016</c:v>
                </c:pt>
                <c:pt idx="5">
                  <c:v>Dnk 12/2017</c:v>
                </c:pt>
                <c:pt idx="6">
                  <c:v>Swe 09/2016</c:v>
                </c:pt>
                <c:pt idx="7">
                  <c:v>Fra 07/2017</c:v>
                </c:pt>
                <c:pt idx="8">
                  <c:v>Prt 06/2018</c:v>
                </c:pt>
                <c:pt idx="9">
                  <c:v>WACC 2018e</c:v>
                </c:pt>
                <c:pt idx="10">
                  <c:v>WACC 2015</c:v>
                </c:pt>
                <c:pt idx="11">
                  <c:v>Irl 12/2014</c:v>
                </c:pt>
                <c:pt idx="12">
                  <c:v>Nor 11/2017</c:v>
                </c:pt>
                <c:pt idx="13">
                  <c:v>Ita 09/2015</c:v>
                </c:pt>
                <c:pt idx="14">
                  <c:v>Aut 09/2013</c:v>
                </c:pt>
              </c:strCache>
            </c:strRef>
          </c:cat>
          <c:val>
            <c:numRef>
              <c:f>'To Ms Word B (to update)'!$C$97:$C$111</c:f>
              <c:numCache>
                <c:formatCode>0.00%</c:formatCode>
                <c:ptCount val="15"/>
                <c:pt idx="0">
                  <c:v>6.480000000000001E-2</c:v>
                </c:pt>
                <c:pt idx="1">
                  <c:v>6.7000000000000004E-2</c:v>
                </c:pt>
                <c:pt idx="2">
                  <c:v>6.7500000000000004E-2</c:v>
                </c:pt>
                <c:pt idx="3">
                  <c:v>7.0000000000000007E-2</c:v>
                </c:pt>
                <c:pt idx="4">
                  <c:v>7.0999999999999994E-2</c:v>
                </c:pt>
                <c:pt idx="5">
                  <c:v>7.1500000000000008E-2</c:v>
                </c:pt>
                <c:pt idx="6">
                  <c:v>7.2999999999999995E-2</c:v>
                </c:pt>
                <c:pt idx="7">
                  <c:v>7.5999999999999998E-2</c:v>
                </c:pt>
                <c:pt idx="8">
                  <c:v>7.6299999999999993E-2</c:v>
                </c:pt>
                <c:pt idx="9">
                  <c:v>8.3529076675368547E-2</c:v>
                </c:pt>
                <c:pt idx="10">
                  <c:v>8.1300000000000011E-2</c:v>
                </c:pt>
                <c:pt idx="11">
                  <c:v>8.6300000000000002E-2</c:v>
                </c:pt>
                <c:pt idx="12">
                  <c:v>9.0999999999999998E-2</c:v>
                </c:pt>
                <c:pt idx="13">
                  <c:v>0.10249999999999999</c:v>
                </c:pt>
                <c:pt idx="14">
                  <c:v>0.1137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5-4B04-9EE7-BDD10DD06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7005056"/>
        <c:axId val="107006592"/>
      </c:barChart>
      <c:catAx>
        <c:axId val="107005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07006592"/>
        <c:crosses val="autoZero"/>
        <c:auto val="1"/>
        <c:lblAlgn val="ctr"/>
        <c:lblOffset val="100"/>
        <c:noMultiLvlLbl val="0"/>
      </c:catAx>
      <c:valAx>
        <c:axId val="107006592"/>
        <c:scaling>
          <c:orientation val="minMax"/>
          <c:min val="6.0000000000000026E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one"/>
        <c:crossAx val="107005056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3A8-450B-ADDB-BDC08C4C62DD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A8-450B-ADDB-BDC08C4C62DD}"/>
              </c:ext>
            </c:extLst>
          </c:dPt>
          <c:dLbls>
            <c:dLbl>
              <c:idx val="1"/>
              <c:layout>
                <c:manualLayout>
                  <c:x val="-4.2605141959496398E-2"/>
                  <c:y val="1.160204498889016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3A8-450B-ADDB-BDC08C4C62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 Ms Word B (to update)'!$J$97:$J$111</c:f>
              <c:strCache>
                <c:ptCount val="15"/>
                <c:pt idx="0">
                  <c:v>Nld 03/2013</c:v>
                </c:pt>
                <c:pt idx="1">
                  <c:v>Aut 09/2013</c:v>
                </c:pt>
                <c:pt idx="2">
                  <c:v>Irl 12/2014</c:v>
                </c:pt>
                <c:pt idx="3">
                  <c:v>WACC 2015</c:v>
                </c:pt>
                <c:pt idx="4">
                  <c:v>Ita 09/2015</c:v>
                </c:pt>
                <c:pt idx="5">
                  <c:v>Lux 06/2016</c:v>
                </c:pt>
                <c:pt idx="6">
                  <c:v>Swe 09/2016</c:v>
                </c:pt>
                <c:pt idx="7">
                  <c:v>Deu 06/2017</c:v>
                </c:pt>
                <c:pt idx="8">
                  <c:v>Fra 07/2017</c:v>
                </c:pt>
                <c:pt idx="9">
                  <c:v>Nor 11/2017</c:v>
                </c:pt>
                <c:pt idx="10">
                  <c:v>Dnk 12/2017</c:v>
                </c:pt>
                <c:pt idx="11">
                  <c:v>Esp 12/2017</c:v>
                </c:pt>
                <c:pt idx="12">
                  <c:v>Fin 05/2018</c:v>
                </c:pt>
                <c:pt idx="13">
                  <c:v>Prt 06/2018</c:v>
                </c:pt>
                <c:pt idx="14">
                  <c:v>WACC 2018e</c:v>
                </c:pt>
              </c:strCache>
            </c:strRef>
          </c:cat>
          <c:val>
            <c:numRef>
              <c:f>'To Ms Word B (to update)'!$K$97:$K$111</c:f>
              <c:numCache>
                <c:formatCode>0.00%</c:formatCode>
                <c:ptCount val="15"/>
                <c:pt idx="0">
                  <c:v>6.7000000000000004E-2</c:v>
                </c:pt>
                <c:pt idx="1">
                  <c:v>0.1137</c:v>
                </c:pt>
                <c:pt idx="2">
                  <c:v>8.6300000000000002E-2</c:v>
                </c:pt>
                <c:pt idx="3">
                  <c:v>8.1300000000000011E-2</c:v>
                </c:pt>
                <c:pt idx="4">
                  <c:v>0.10249999999999999</c:v>
                </c:pt>
                <c:pt idx="5">
                  <c:v>7.0999999999999994E-2</c:v>
                </c:pt>
                <c:pt idx="6">
                  <c:v>7.2999999999999995E-2</c:v>
                </c:pt>
                <c:pt idx="7">
                  <c:v>6.7500000000000004E-2</c:v>
                </c:pt>
                <c:pt idx="8">
                  <c:v>7.5999999999999998E-2</c:v>
                </c:pt>
                <c:pt idx="9">
                  <c:v>9.0999999999999998E-2</c:v>
                </c:pt>
                <c:pt idx="10">
                  <c:v>7.1500000000000008E-2</c:v>
                </c:pt>
                <c:pt idx="11">
                  <c:v>6.480000000000001E-2</c:v>
                </c:pt>
                <c:pt idx="12">
                  <c:v>7.0000000000000007E-2</c:v>
                </c:pt>
                <c:pt idx="13">
                  <c:v>7.6299999999999993E-2</c:v>
                </c:pt>
                <c:pt idx="14">
                  <c:v>8.3529076675368547E-2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A8-450B-ADDB-BDC08C4C6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7628032"/>
        <c:axId val="107629568"/>
      </c:barChart>
      <c:catAx>
        <c:axId val="107628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07629568"/>
        <c:crosses val="autoZero"/>
        <c:auto val="1"/>
        <c:lblAlgn val="ctr"/>
        <c:lblOffset val="100"/>
        <c:noMultiLvlLbl val="0"/>
      </c:catAx>
      <c:valAx>
        <c:axId val="107629568"/>
        <c:scaling>
          <c:orientation val="minMax"/>
          <c:min val="6.0000000000000026E-2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one"/>
        <c:crossAx val="107628032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07318824734835"/>
          <c:y val="3.4883723833773701E-2"/>
          <c:w val="0.77656497220446685"/>
          <c:h val="0.8273912393160797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'To Ms Word B (to update)'!$C$119</c:f>
              <c:strCache>
                <c:ptCount val="1"/>
                <c:pt idx="0">
                  <c:v>Copper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1184207356806519E-2"/>
                  <c:y val="-1.180243776738572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AEA-4E41-8CDC-39D20AF373D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 Ms Word B (to update)'!$B$120:$B$136</c:f>
              <c:strCache>
                <c:ptCount val="17"/>
                <c:pt idx="0">
                  <c:v>Swi 12/2013</c:v>
                </c:pt>
                <c:pt idx="1">
                  <c:v>Irl 12/2014</c:v>
                </c:pt>
                <c:pt idx="2">
                  <c:v>WACC 2015</c:v>
                </c:pt>
                <c:pt idx="3">
                  <c:v>Nld 07/2015</c:v>
                </c:pt>
                <c:pt idx="4">
                  <c:v>Ita 11/2015</c:v>
                </c:pt>
                <c:pt idx="5">
                  <c:v>Lux 06/2016</c:v>
                </c:pt>
                <c:pt idx="6">
                  <c:v>Prt 01/2017</c:v>
                </c:pt>
                <c:pt idx="7">
                  <c:v>Deu 06/2017</c:v>
                </c:pt>
                <c:pt idx="8">
                  <c:v>Fra 07/2017</c:v>
                </c:pt>
                <c:pt idx="9">
                  <c:v>Aut 07/2017</c:v>
                </c:pt>
                <c:pt idx="10">
                  <c:v>Nor 11/2017</c:v>
                </c:pt>
                <c:pt idx="11">
                  <c:v>Dnk 12/2017</c:v>
                </c:pt>
                <c:pt idx="12">
                  <c:v>Esp 12/2017</c:v>
                </c:pt>
                <c:pt idx="13">
                  <c:v>Swe 03/2018</c:v>
                </c:pt>
                <c:pt idx="14">
                  <c:v>Gbr 03/2018</c:v>
                </c:pt>
                <c:pt idx="15">
                  <c:v>Fin 05/2018</c:v>
                </c:pt>
                <c:pt idx="16">
                  <c:v>WACC 2018e</c:v>
                </c:pt>
              </c:strCache>
            </c:strRef>
          </c:cat>
          <c:val>
            <c:numRef>
              <c:f>'To Ms Word B (to update)'!$C$120:$C$136</c:f>
              <c:numCache>
                <c:formatCode>0.00%</c:formatCode>
                <c:ptCount val="17"/>
                <c:pt idx="0">
                  <c:v>4.4600000000000001E-2</c:v>
                </c:pt>
                <c:pt idx="1">
                  <c:v>8.1799999999999998E-2</c:v>
                </c:pt>
                <c:pt idx="3">
                  <c:v>6.0599999999999994E-2</c:v>
                </c:pt>
                <c:pt idx="4">
                  <c:v>8.77E-2</c:v>
                </c:pt>
                <c:pt idx="5">
                  <c:v>7.0999999999999994E-2</c:v>
                </c:pt>
                <c:pt idx="8">
                  <c:v>7.5999999999999998E-2</c:v>
                </c:pt>
                <c:pt idx="10">
                  <c:v>8.3000000000000004E-2</c:v>
                </c:pt>
                <c:pt idx="11">
                  <c:v>5.04E-2</c:v>
                </c:pt>
                <c:pt idx="12">
                  <c:v>6.480000000000001E-2</c:v>
                </c:pt>
                <c:pt idx="13">
                  <c:v>6.3E-2</c:v>
                </c:pt>
                <c:pt idx="14">
                  <c:v>7.9000000000000001E-2</c:v>
                </c:pt>
                <c:pt idx="15">
                  <c:v>6.5000000000000002E-2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A-4E41-8CDC-39D20AF373D2}"/>
            </c:ext>
          </c:extLst>
        </c:ser>
        <c:ser>
          <c:idx val="1"/>
          <c:order val="1"/>
          <c:tx>
            <c:strRef>
              <c:f>'To Ms Word B (to update)'!$D$119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AEA-4E41-8CDC-39D20AF373D2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AEA-4E41-8CDC-39D20AF373D2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AEA-4E41-8CDC-39D20AF373D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AEA-4E41-8CDC-39D20AF373D2}"/>
                </c:ext>
              </c:extLst>
            </c:dLbl>
            <c:dLbl>
              <c:idx val="16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EA-4E41-8CDC-39D20AF373D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 Ms Word B (to update)'!$B$120:$B$136</c:f>
              <c:strCache>
                <c:ptCount val="17"/>
                <c:pt idx="0">
                  <c:v>Swi 12/2013</c:v>
                </c:pt>
                <c:pt idx="1">
                  <c:v>Irl 12/2014</c:v>
                </c:pt>
                <c:pt idx="2">
                  <c:v>WACC 2015</c:v>
                </c:pt>
                <c:pt idx="3">
                  <c:v>Nld 07/2015</c:v>
                </c:pt>
                <c:pt idx="4">
                  <c:v>Ita 11/2015</c:v>
                </c:pt>
                <c:pt idx="5">
                  <c:v>Lux 06/2016</c:v>
                </c:pt>
                <c:pt idx="6">
                  <c:v>Prt 01/2017</c:v>
                </c:pt>
                <c:pt idx="7">
                  <c:v>Deu 06/2017</c:v>
                </c:pt>
                <c:pt idx="8">
                  <c:v>Fra 07/2017</c:v>
                </c:pt>
                <c:pt idx="9">
                  <c:v>Aut 07/2017</c:v>
                </c:pt>
                <c:pt idx="10">
                  <c:v>Nor 11/2017</c:v>
                </c:pt>
                <c:pt idx="11">
                  <c:v>Dnk 12/2017</c:v>
                </c:pt>
                <c:pt idx="12">
                  <c:v>Esp 12/2017</c:v>
                </c:pt>
                <c:pt idx="13">
                  <c:v>Swe 03/2018</c:v>
                </c:pt>
                <c:pt idx="14">
                  <c:v>Gbr 03/2018</c:v>
                </c:pt>
                <c:pt idx="15">
                  <c:v>Fin 05/2018</c:v>
                </c:pt>
                <c:pt idx="16">
                  <c:v>WACC 2018e</c:v>
                </c:pt>
              </c:strCache>
            </c:strRef>
          </c:cat>
          <c:val>
            <c:numRef>
              <c:f>'To Ms Word B (to update)'!$D$120:$D$136</c:f>
              <c:numCache>
                <c:formatCode>0.00%</c:formatCode>
                <c:ptCount val="17"/>
                <c:pt idx="2">
                  <c:v>8.1300000000000011E-2</c:v>
                </c:pt>
                <c:pt idx="6">
                  <c:v>9.0650999999999995E-2</c:v>
                </c:pt>
                <c:pt idx="7">
                  <c:v>5.6600000000000004E-2</c:v>
                </c:pt>
                <c:pt idx="9">
                  <c:v>7.9100000000000004E-2</c:v>
                </c:pt>
                <c:pt idx="16">
                  <c:v>7.1217050312156124E-2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A-4E41-8CDC-39D20AF373D2}"/>
            </c:ext>
          </c:extLst>
        </c:ser>
        <c:ser>
          <c:idx val="2"/>
          <c:order val="2"/>
          <c:tx>
            <c:strRef>
              <c:f>'To Ms Word B (to update)'!$E$119</c:f>
              <c:strCache>
                <c:ptCount val="1"/>
                <c:pt idx="0">
                  <c:v>+ "NGA (fibre)"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 Ms Word B (to update)'!$B$120:$B$136</c:f>
              <c:strCache>
                <c:ptCount val="17"/>
                <c:pt idx="0">
                  <c:v>Swi 12/2013</c:v>
                </c:pt>
                <c:pt idx="1">
                  <c:v>Irl 12/2014</c:v>
                </c:pt>
                <c:pt idx="2">
                  <c:v>WACC 2015</c:v>
                </c:pt>
                <c:pt idx="3">
                  <c:v>Nld 07/2015</c:v>
                </c:pt>
                <c:pt idx="4">
                  <c:v>Ita 11/2015</c:v>
                </c:pt>
                <c:pt idx="5">
                  <c:v>Lux 06/2016</c:v>
                </c:pt>
                <c:pt idx="6">
                  <c:v>Prt 01/2017</c:v>
                </c:pt>
                <c:pt idx="7">
                  <c:v>Deu 06/2017</c:v>
                </c:pt>
                <c:pt idx="8">
                  <c:v>Fra 07/2017</c:v>
                </c:pt>
                <c:pt idx="9">
                  <c:v>Aut 07/2017</c:v>
                </c:pt>
                <c:pt idx="10">
                  <c:v>Nor 11/2017</c:v>
                </c:pt>
                <c:pt idx="11">
                  <c:v>Dnk 12/2017</c:v>
                </c:pt>
                <c:pt idx="12">
                  <c:v>Esp 12/2017</c:v>
                </c:pt>
                <c:pt idx="13">
                  <c:v>Swe 03/2018</c:v>
                </c:pt>
                <c:pt idx="14">
                  <c:v>Gbr 03/2018</c:v>
                </c:pt>
                <c:pt idx="15">
                  <c:v>Fin 05/2018</c:v>
                </c:pt>
                <c:pt idx="16">
                  <c:v>WACC 2018e</c:v>
                </c:pt>
              </c:strCache>
            </c:strRef>
          </c:cat>
          <c:val>
            <c:numRef>
              <c:f>'To Ms Word B (to update)'!$E$120:$E$136</c:f>
              <c:numCache>
                <c:formatCode>0.00%</c:formatCode>
                <c:ptCount val="17"/>
                <c:pt idx="3">
                  <c:v>2.6100000000000005E-2</c:v>
                </c:pt>
                <c:pt idx="4">
                  <c:v>1.2000000000000011E-2</c:v>
                </c:pt>
                <c:pt idx="5">
                  <c:v>6.1000000000000082E-3</c:v>
                </c:pt>
                <c:pt idx="11">
                  <c:v>2.0000000000000004E-2</c:v>
                </c:pt>
                <c:pt idx="14">
                  <c:v>1.0000000000000009E-2</c:v>
                </c:pt>
                <c:pt idx="15">
                  <c:v>1.0999999999999996E-2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EA-4E41-8CDC-39D20AF373D2}"/>
            </c:ext>
          </c:extLst>
        </c:ser>
        <c:ser>
          <c:idx val="3"/>
          <c:order val="3"/>
          <c:tx>
            <c:strRef>
              <c:f>'To Ms Word B (to update)'!$F$119</c:f>
              <c:strCache>
                <c:ptCount val="1"/>
                <c:pt idx="0">
                  <c:v>+ FttH (vs. FttC)     Cf. Notes 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6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6EB-40DD-99F9-DF46278CB40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 Ms Word B (to update)'!$B$120:$B$136</c:f>
              <c:strCache>
                <c:ptCount val="17"/>
                <c:pt idx="0">
                  <c:v>Swi 12/2013</c:v>
                </c:pt>
                <c:pt idx="1">
                  <c:v>Irl 12/2014</c:v>
                </c:pt>
                <c:pt idx="2">
                  <c:v>WACC 2015</c:v>
                </c:pt>
                <c:pt idx="3">
                  <c:v>Nld 07/2015</c:v>
                </c:pt>
                <c:pt idx="4">
                  <c:v>Ita 11/2015</c:v>
                </c:pt>
                <c:pt idx="5">
                  <c:v>Lux 06/2016</c:v>
                </c:pt>
                <c:pt idx="6">
                  <c:v>Prt 01/2017</c:v>
                </c:pt>
                <c:pt idx="7">
                  <c:v>Deu 06/2017</c:v>
                </c:pt>
                <c:pt idx="8">
                  <c:v>Fra 07/2017</c:v>
                </c:pt>
                <c:pt idx="9">
                  <c:v>Aut 07/2017</c:v>
                </c:pt>
                <c:pt idx="10">
                  <c:v>Nor 11/2017</c:v>
                </c:pt>
                <c:pt idx="11">
                  <c:v>Dnk 12/2017</c:v>
                </c:pt>
                <c:pt idx="12">
                  <c:v>Esp 12/2017</c:v>
                </c:pt>
                <c:pt idx="13">
                  <c:v>Swe 03/2018</c:v>
                </c:pt>
                <c:pt idx="14">
                  <c:v>Gbr 03/2018</c:v>
                </c:pt>
                <c:pt idx="15">
                  <c:v>Fin 05/2018</c:v>
                </c:pt>
                <c:pt idx="16">
                  <c:v>WACC 2018e</c:v>
                </c:pt>
              </c:strCache>
            </c:strRef>
          </c:cat>
          <c:val>
            <c:numRef>
              <c:f>'To Ms Word B (to update)'!$F$120:$F$136</c:f>
              <c:numCache>
                <c:formatCode>0.00%</c:formatCode>
                <c:ptCount val="17"/>
                <c:pt idx="4">
                  <c:v>1.999999999999999E-2</c:v>
                </c:pt>
                <c:pt idx="16">
                  <c:v>1.6463534664179935E-2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EA-4E41-8CDC-39D20AF37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021632"/>
        <c:axId val="131929216"/>
      </c:barChart>
      <c:catAx>
        <c:axId val="132021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31929216"/>
        <c:crosses val="autoZero"/>
        <c:auto val="1"/>
        <c:lblAlgn val="ctr"/>
        <c:lblOffset val="100"/>
        <c:noMultiLvlLbl val="0"/>
      </c:catAx>
      <c:valAx>
        <c:axId val="131929216"/>
        <c:scaling>
          <c:orientation val="minMax"/>
          <c:max val="0.12000000000000002"/>
          <c:min val="4.000000000000002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32021632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53765377446885"/>
          <c:y val="0.9388713680788614"/>
          <c:w val="0.86620224480924957"/>
          <c:h val="6.1128669501811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67482787729904E-2"/>
          <c:y val="4.2512338684815486E-2"/>
          <c:w val="0.8778989990918693"/>
          <c:h val="0.76706610698121569"/>
        </c:manualLayout>
      </c:layout>
      <c:scatterChart>
        <c:scatterStyle val="lineMarker"/>
        <c:varyColors val="0"/>
        <c:ser>
          <c:idx val="0"/>
          <c:order val="0"/>
          <c:tx>
            <c:strRef>
              <c:f>'To Ms Word B (to update)'!$C$4</c:f>
              <c:strCache>
                <c:ptCount val="1"/>
                <c:pt idx="0">
                  <c:v>F/M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'To Ms Word B (to update)'!$B$5:$B$25</c:f>
            </c:numRef>
          </c:xVal>
          <c:yVal>
            <c:numRef>
              <c:f>'To Ms Word B (to update)'!$C$5:$C$25</c:f>
            </c:numRef>
          </c:yVal>
          <c:smooth val="0"/>
          <c:extLst>
            <c:ext xmlns:c16="http://schemas.microsoft.com/office/drawing/2014/chart" uri="{C3380CC4-5D6E-409C-BE32-E72D297353CC}">
              <c16:uniqueId val="{00000000-29F9-4E6F-BBA1-5374E5455C1D}"/>
            </c:ext>
          </c:extLst>
        </c:ser>
        <c:ser>
          <c:idx val="1"/>
          <c:order val="1"/>
          <c:tx>
            <c:strRef>
              <c:f>'To Ms Word B (to update)'!$D$4</c:f>
              <c:strCache>
                <c:ptCount val="1"/>
                <c:pt idx="0">
                  <c:v>Copper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'To Ms Word B (to update)'!$B$5:$B$25</c:f>
            </c:numRef>
          </c:xVal>
          <c:yVal>
            <c:numRef>
              <c:f>'To Ms Word B (to update)'!$D$5:$D$25</c:f>
            </c:numRef>
          </c:yVal>
          <c:smooth val="0"/>
          <c:extLst>
            <c:ext xmlns:c16="http://schemas.microsoft.com/office/drawing/2014/chart" uri="{C3380CC4-5D6E-409C-BE32-E72D297353CC}">
              <c16:uniqueId val="{00000001-29F9-4E6F-BBA1-5374E5455C1D}"/>
            </c:ext>
          </c:extLst>
        </c:ser>
        <c:ser>
          <c:idx val="4"/>
          <c:order val="2"/>
          <c:tx>
            <c:strRef>
              <c:f>'To Ms Word B (to update)'!$G$4</c:f>
              <c:strCache>
                <c:ptCount val="1"/>
                <c:pt idx="0">
                  <c:v>Mobile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'To Ms Word B (to update)'!$B$5:$B$25</c:f>
            </c:numRef>
          </c:xVal>
          <c:yVal>
            <c:numRef>
              <c:f>'To Ms Word B (to update)'!$G$5:$G$25</c:f>
            </c:numRef>
          </c:yVal>
          <c:smooth val="0"/>
          <c:extLst>
            <c:ext xmlns:c16="http://schemas.microsoft.com/office/drawing/2014/chart" uri="{C3380CC4-5D6E-409C-BE32-E72D297353CC}">
              <c16:uniqueId val="{00000004-29F9-4E6F-BBA1-5374E5455C1D}"/>
            </c:ext>
          </c:extLst>
        </c:ser>
        <c:ser>
          <c:idx val="2"/>
          <c:order val="3"/>
          <c:tx>
            <c:strRef>
              <c:f>'To Ms Word B (to update)'!$E$4</c:f>
              <c:strCache>
                <c:ptCount val="1"/>
                <c:pt idx="0">
                  <c:v>"NGA"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'To Ms Word B (to update)'!$B$5:$B$25</c:f>
            </c:numRef>
          </c:xVal>
          <c:yVal>
            <c:numRef>
              <c:f>'To Ms Word B (to update)'!$E$5:$E$25</c:f>
            </c:numRef>
          </c:yVal>
          <c:smooth val="0"/>
          <c:extLst>
            <c:ext xmlns:c16="http://schemas.microsoft.com/office/drawing/2014/chart" uri="{C3380CC4-5D6E-409C-BE32-E72D297353CC}">
              <c16:uniqueId val="{00000002-29F9-4E6F-BBA1-5374E5455C1D}"/>
            </c:ext>
          </c:extLst>
        </c:ser>
        <c:ser>
          <c:idx val="3"/>
          <c:order val="4"/>
          <c:tx>
            <c:strRef>
              <c:f>'To Ms Word B (to update)'!$F$4</c:f>
              <c:strCache>
                <c:ptCount val="1"/>
                <c:pt idx="0">
                  <c:v>FttH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5"/>
            <c:marker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29F9-4E6F-BBA1-5374E5455C1D}"/>
              </c:ext>
            </c:extLst>
          </c:dPt>
          <c:dPt>
            <c:idx val="19"/>
            <c:marker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29F9-4E6F-BBA1-5374E5455C1D}"/>
              </c:ext>
            </c:extLst>
          </c:dPt>
          <c:xVal>
            <c:numRef>
              <c:f>'To Ms Word B (to update)'!$B$5:$B$25</c:f>
            </c:numRef>
          </c:xVal>
          <c:yVal>
            <c:numRef>
              <c:f>'To Ms Word B (to update)'!$F$5:$F$25</c:f>
            </c:numRef>
          </c:yVal>
          <c:smooth val="0"/>
          <c:extLst>
            <c:ext xmlns:c16="http://schemas.microsoft.com/office/drawing/2014/chart" uri="{C3380CC4-5D6E-409C-BE32-E72D297353CC}">
              <c16:uniqueId val="{00000003-29F9-4E6F-BBA1-5374E5455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136960"/>
        <c:axId val="132138496"/>
      </c:scatterChart>
      <c:valAx>
        <c:axId val="132136960"/>
        <c:scaling>
          <c:orientation val="minMax"/>
          <c:max val="43370"/>
          <c:min val="41518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mm/yyyy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32138496"/>
        <c:crosses val="autoZero"/>
        <c:crossBetween val="midCat"/>
        <c:majorUnit val="366"/>
      </c:valAx>
      <c:valAx>
        <c:axId val="132138496"/>
        <c:scaling>
          <c:orientation val="minMax"/>
          <c:max val="0.12000000000000002"/>
          <c:min val="4.000000000000002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32136960"/>
        <c:crosses val="autoZero"/>
        <c:crossBetween val="midCat"/>
        <c:majorUnit val="1.0000000000000005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94330197844688"/>
          <c:y val="0.92999051112383468"/>
          <c:w val="0.69564307442663875"/>
          <c:h val="7.00094888761658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345185970651468"/>
          <c:y val="4.2162165751195212E-2"/>
          <c:w val="0.64813138365772627"/>
          <c:h val="0.928648642574900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965-4B04-9EE7-BDD10DD069A6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65-4B04-9EE7-BDD10DD069A6}"/>
              </c:ext>
            </c:extLst>
          </c:dPt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0965-4B04-9EE7-BDD10DD069A6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965-4B04-9EE7-BDD10DD069A6}"/>
                </c:ext>
              </c:extLst>
            </c:dLbl>
            <c:dLbl>
              <c:idx val="14"/>
              <c:layout>
                <c:manualLayout>
                  <c:x val="-6.9711151089226441E-4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11,37%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965-4B04-9EE7-BDD10DD069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 Ms Word B'!$B$97:$B$111</c:f>
              <c:strCache>
                <c:ptCount val="15"/>
                <c:pt idx="0">
                  <c:v>Deu 06/2018</c:v>
                </c:pt>
                <c:pt idx="1">
                  <c:v>Esp 12/2017</c:v>
                </c:pt>
                <c:pt idx="2">
                  <c:v>Nld 03/2013</c:v>
                </c:pt>
                <c:pt idx="3">
                  <c:v>Dnk 01/2019</c:v>
                </c:pt>
                <c:pt idx="4">
                  <c:v>Fin 05/2018</c:v>
                </c:pt>
                <c:pt idx="5">
                  <c:v>Lux 06/2016</c:v>
                </c:pt>
                <c:pt idx="6">
                  <c:v>Swe 09/2016</c:v>
                </c:pt>
                <c:pt idx="7">
                  <c:v>Fra 07/2017</c:v>
                </c:pt>
                <c:pt idx="8">
                  <c:v>Prt 06/2018</c:v>
                </c:pt>
                <c:pt idx="9">
                  <c:v>WACC 2015</c:v>
                </c:pt>
                <c:pt idx="10">
                  <c:v>WACC 2019</c:v>
                </c:pt>
                <c:pt idx="11">
                  <c:v>Irl 12/2014</c:v>
                </c:pt>
                <c:pt idx="12">
                  <c:v>Nor 11/2017</c:v>
                </c:pt>
                <c:pt idx="13">
                  <c:v>Ita 09/2015</c:v>
                </c:pt>
                <c:pt idx="14">
                  <c:v>Aut 09/2013</c:v>
                </c:pt>
              </c:strCache>
            </c:strRef>
          </c:cat>
          <c:val>
            <c:numRef>
              <c:f>'To Ms Word B'!$C$97:$C$111</c:f>
              <c:numCache>
                <c:formatCode>0.00%</c:formatCode>
                <c:ptCount val="15"/>
                <c:pt idx="0">
                  <c:v>5.4699999999999999E-2</c:v>
                </c:pt>
                <c:pt idx="1">
                  <c:v>6.480000000000001E-2</c:v>
                </c:pt>
                <c:pt idx="2">
                  <c:v>6.7000000000000004E-2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7.0999999999999994E-2</c:v>
                </c:pt>
                <c:pt idx="6">
                  <c:v>7.2999999999999995E-2</c:v>
                </c:pt>
                <c:pt idx="7">
                  <c:v>7.5999999999999998E-2</c:v>
                </c:pt>
                <c:pt idx="8">
                  <c:v>7.6299999999999993E-2</c:v>
                </c:pt>
                <c:pt idx="9">
                  <c:v>8.1300000000000011E-2</c:v>
                </c:pt>
                <c:pt idx="10">
                  <c:v>8.3529076675368547E-2</c:v>
                </c:pt>
                <c:pt idx="11">
                  <c:v>8.6300000000000002E-2</c:v>
                </c:pt>
                <c:pt idx="12">
                  <c:v>9.0999999999999998E-2</c:v>
                </c:pt>
                <c:pt idx="13">
                  <c:v>0.10249999999999999</c:v>
                </c:pt>
                <c:pt idx="14">
                  <c:v>0.1137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5-4B04-9EE7-BDD10DD06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2166784"/>
        <c:axId val="132168320"/>
      </c:barChart>
      <c:catAx>
        <c:axId val="132166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32168320"/>
        <c:crosses val="autoZero"/>
        <c:auto val="1"/>
        <c:lblAlgn val="ctr"/>
        <c:lblOffset val="100"/>
        <c:noMultiLvlLbl val="0"/>
      </c:catAx>
      <c:valAx>
        <c:axId val="132168320"/>
        <c:scaling>
          <c:orientation val="minMax"/>
          <c:max val="0.13"/>
          <c:min val="0.0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one"/>
        <c:crossAx val="132166784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3A8-450B-ADDB-BDC08C4C62DD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A8-450B-ADDB-BDC08C4C62DD}"/>
              </c:ext>
            </c:extLst>
          </c:dPt>
          <c:dLbls>
            <c:dLbl>
              <c:idx val="1"/>
              <c:layout>
                <c:manualLayout>
                  <c:x val="-4.2605141959496419E-2"/>
                  <c:y val="1.160204498889017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3A8-450B-ADDB-BDC08C4C62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 Ms Word B'!$J$97:$J$111</c:f>
              <c:strCache>
                <c:ptCount val="15"/>
                <c:pt idx="0">
                  <c:v>Nld 03/2013</c:v>
                </c:pt>
                <c:pt idx="1">
                  <c:v>Aut 09/2013</c:v>
                </c:pt>
                <c:pt idx="2">
                  <c:v>Irl 12/2014</c:v>
                </c:pt>
                <c:pt idx="3">
                  <c:v>WACC 2015</c:v>
                </c:pt>
                <c:pt idx="4">
                  <c:v>Ita 09/2015</c:v>
                </c:pt>
                <c:pt idx="5">
                  <c:v>Lux 06/2016</c:v>
                </c:pt>
                <c:pt idx="6">
                  <c:v>Swe 09/2016</c:v>
                </c:pt>
                <c:pt idx="7">
                  <c:v>Fra 07/2017</c:v>
                </c:pt>
                <c:pt idx="8">
                  <c:v>Nor 11/2017</c:v>
                </c:pt>
                <c:pt idx="9">
                  <c:v>Esp 12/2017</c:v>
                </c:pt>
                <c:pt idx="10">
                  <c:v>Fin 05/2018</c:v>
                </c:pt>
                <c:pt idx="11">
                  <c:v>Prt 06/2018</c:v>
                </c:pt>
                <c:pt idx="12">
                  <c:v>Deu 06/2018</c:v>
                </c:pt>
                <c:pt idx="13">
                  <c:v>Dnk 01/2019</c:v>
                </c:pt>
                <c:pt idx="14">
                  <c:v>WACC 2019</c:v>
                </c:pt>
              </c:strCache>
            </c:strRef>
          </c:cat>
          <c:val>
            <c:numRef>
              <c:f>'To Ms Word B'!$K$97:$K$111</c:f>
              <c:numCache>
                <c:formatCode>0.00%</c:formatCode>
                <c:ptCount val="15"/>
                <c:pt idx="0">
                  <c:v>6.7000000000000004E-2</c:v>
                </c:pt>
                <c:pt idx="1">
                  <c:v>0.1137</c:v>
                </c:pt>
                <c:pt idx="2">
                  <c:v>8.6300000000000002E-2</c:v>
                </c:pt>
                <c:pt idx="3">
                  <c:v>8.1300000000000011E-2</c:v>
                </c:pt>
                <c:pt idx="4">
                  <c:v>0.10249999999999999</c:v>
                </c:pt>
                <c:pt idx="5">
                  <c:v>7.0999999999999994E-2</c:v>
                </c:pt>
                <c:pt idx="6">
                  <c:v>7.2999999999999995E-2</c:v>
                </c:pt>
                <c:pt idx="7">
                  <c:v>7.5999999999999998E-2</c:v>
                </c:pt>
                <c:pt idx="8">
                  <c:v>9.0999999999999998E-2</c:v>
                </c:pt>
                <c:pt idx="9">
                  <c:v>6.480000000000001E-2</c:v>
                </c:pt>
                <c:pt idx="10">
                  <c:v>7.0000000000000007E-2</c:v>
                </c:pt>
                <c:pt idx="11">
                  <c:v>7.6299999999999993E-2</c:v>
                </c:pt>
                <c:pt idx="12">
                  <c:v>5.4699999999999999E-2</c:v>
                </c:pt>
                <c:pt idx="13">
                  <c:v>7.6299999999999993E-2</c:v>
                </c:pt>
                <c:pt idx="14">
                  <c:v>8.3529076675368547E-2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A8-450B-ADDB-BDC08C4C6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2333952"/>
        <c:axId val="132335488"/>
      </c:barChart>
      <c:catAx>
        <c:axId val="132333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32335488"/>
        <c:crosses val="autoZero"/>
        <c:auto val="1"/>
        <c:lblAlgn val="ctr"/>
        <c:lblOffset val="100"/>
        <c:noMultiLvlLbl val="0"/>
      </c:catAx>
      <c:valAx>
        <c:axId val="132335488"/>
        <c:scaling>
          <c:orientation val="minMax"/>
          <c:max val="0.13"/>
          <c:min val="0.05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one"/>
        <c:crossAx val="132333952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07318824734841"/>
          <c:y val="3.4883723833773715E-2"/>
          <c:w val="0.77656497220446685"/>
          <c:h val="0.827391239316079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'To Ms Word B'!$C$119</c:f>
              <c:strCache>
                <c:ptCount val="1"/>
                <c:pt idx="0">
                  <c:v>Copper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1184207356806533E-2"/>
                  <c:y val="-1.1802437767385749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AEA-4E41-8CDC-39D20AF373D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 Ms Word B'!$B$120:$B$136</c:f>
              <c:strCache>
                <c:ptCount val="17"/>
                <c:pt idx="0">
                  <c:v>Swi 12/2013</c:v>
                </c:pt>
                <c:pt idx="1">
                  <c:v>Irl 12/2014</c:v>
                </c:pt>
                <c:pt idx="2">
                  <c:v>WACC 2015</c:v>
                </c:pt>
                <c:pt idx="3">
                  <c:v>Nld 07/2015</c:v>
                </c:pt>
                <c:pt idx="4">
                  <c:v>Ita 11/2015</c:v>
                </c:pt>
                <c:pt idx="5">
                  <c:v>Lux 06/2016</c:v>
                </c:pt>
                <c:pt idx="6">
                  <c:v>Prt 01/2017</c:v>
                </c:pt>
                <c:pt idx="7">
                  <c:v>Fra 07/2017</c:v>
                </c:pt>
                <c:pt idx="8">
                  <c:v>Aut 07/2017</c:v>
                </c:pt>
                <c:pt idx="9">
                  <c:v>Nor 11/2017</c:v>
                </c:pt>
                <c:pt idx="10">
                  <c:v>Esp 12/2017</c:v>
                </c:pt>
                <c:pt idx="11">
                  <c:v>Swe 03/2018</c:v>
                </c:pt>
                <c:pt idx="12">
                  <c:v>Gbr 03/2018</c:v>
                </c:pt>
                <c:pt idx="13">
                  <c:v>Fin 05/2018</c:v>
                </c:pt>
                <c:pt idx="14">
                  <c:v>Deu 06/2018</c:v>
                </c:pt>
                <c:pt idx="15">
                  <c:v>Dnk 01/2019</c:v>
                </c:pt>
                <c:pt idx="16">
                  <c:v>WACC 2019</c:v>
                </c:pt>
              </c:strCache>
            </c:strRef>
          </c:cat>
          <c:val>
            <c:numRef>
              <c:f>'To Ms Word B'!$C$120:$C$136</c:f>
              <c:numCache>
                <c:formatCode>0.00%</c:formatCode>
                <c:ptCount val="17"/>
                <c:pt idx="0">
                  <c:v>4.4600000000000001E-2</c:v>
                </c:pt>
                <c:pt idx="1">
                  <c:v>8.1799999999999998E-2</c:v>
                </c:pt>
                <c:pt idx="3">
                  <c:v>6.0599999999999994E-2</c:v>
                </c:pt>
                <c:pt idx="4">
                  <c:v>8.77E-2</c:v>
                </c:pt>
                <c:pt idx="5">
                  <c:v>7.0999999999999994E-2</c:v>
                </c:pt>
                <c:pt idx="7">
                  <c:v>7.5999999999999998E-2</c:v>
                </c:pt>
                <c:pt idx="9">
                  <c:v>8.3000000000000004E-2</c:v>
                </c:pt>
                <c:pt idx="10">
                  <c:v>6.480000000000001E-2</c:v>
                </c:pt>
                <c:pt idx="11">
                  <c:v>6.3E-2</c:v>
                </c:pt>
                <c:pt idx="12">
                  <c:v>7.9000000000000001E-2</c:v>
                </c:pt>
                <c:pt idx="13">
                  <c:v>6.5000000000000002E-2</c:v>
                </c:pt>
                <c:pt idx="15">
                  <c:v>4.7800000000000002E-2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A-4E41-8CDC-39D20AF373D2}"/>
            </c:ext>
          </c:extLst>
        </c:ser>
        <c:ser>
          <c:idx val="1"/>
          <c:order val="1"/>
          <c:tx>
            <c:strRef>
              <c:f>'To Ms Word B'!$D$119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6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1B7-46D4-9D59-479FC030755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 Ms Word B'!$B$120:$B$136</c:f>
              <c:strCache>
                <c:ptCount val="17"/>
                <c:pt idx="0">
                  <c:v>Swi 12/2013</c:v>
                </c:pt>
                <c:pt idx="1">
                  <c:v>Irl 12/2014</c:v>
                </c:pt>
                <c:pt idx="2">
                  <c:v>WACC 2015</c:v>
                </c:pt>
                <c:pt idx="3">
                  <c:v>Nld 07/2015</c:v>
                </c:pt>
                <c:pt idx="4">
                  <c:v>Ita 11/2015</c:v>
                </c:pt>
                <c:pt idx="5">
                  <c:v>Lux 06/2016</c:v>
                </c:pt>
                <c:pt idx="6">
                  <c:v>Prt 01/2017</c:v>
                </c:pt>
                <c:pt idx="7">
                  <c:v>Fra 07/2017</c:v>
                </c:pt>
                <c:pt idx="8">
                  <c:v>Aut 07/2017</c:v>
                </c:pt>
                <c:pt idx="9">
                  <c:v>Nor 11/2017</c:v>
                </c:pt>
                <c:pt idx="10">
                  <c:v>Esp 12/2017</c:v>
                </c:pt>
                <c:pt idx="11">
                  <c:v>Swe 03/2018</c:v>
                </c:pt>
                <c:pt idx="12">
                  <c:v>Gbr 03/2018</c:v>
                </c:pt>
                <c:pt idx="13">
                  <c:v>Fin 05/2018</c:v>
                </c:pt>
                <c:pt idx="14">
                  <c:v>Deu 06/2018</c:v>
                </c:pt>
                <c:pt idx="15">
                  <c:v>Dnk 01/2019</c:v>
                </c:pt>
                <c:pt idx="16">
                  <c:v>WACC 2019</c:v>
                </c:pt>
              </c:strCache>
            </c:strRef>
          </c:cat>
          <c:val>
            <c:numRef>
              <c:f>'To Ms Word B'!$D$120:$D$136</c:f>
              <c:numCache>
                <c:formatCode>0.00%</c:formatCode>
                <c:ptCount val="17"/>
                <c:pt idx="2">
                  <c:v>8.1300000000000011E-2</c:v>
                </c:pt>
                <c:pt idx="6">
                  <c:v>9.0650999999999995E-2</c:v>
                </c:pt>
                <c:pt idx="8">
                  <c:v>7.9100000000000004E-2</c:v>
                </c:pt>
                <c:pt idx="14">
                  <c:v>5.4699999999999999E-2</c:v>
                </c:pt>
                <c:pt idx="16">
                  <c:v>7.1217050312156124E-2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A-4E41-8CDC-39D20AF373D2}"/>
            </c:ext>
          </c:extLst>
        </c:ser>
        <c:ser>
          <c:idx val="2"/>
          <c:order val="2"/>
          <c:tx>
            <c:strRef>
              <c:f>'To Ms Word B'!$E$119</c:f>
              <c:strCache>
                <c:ptCount val="1"/>
                <c:pt idx="0">
                  <c:v>+ "NGA (fibre)"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 Ms Word B'!$B$120:$B$136</c:f>
              <c:strCache>
                <c:ptCount val="17"/>
                <c:pt idx="0">
                  <c:v>Swi 12/2013</c:v>
                </c:pt>
                <c:pt idx="1">
                  <c:v>Irl 12/2014</c:v>
                </c:pt>
                <c:pt idx="2">
                  <c:v>WACC 2015</c:v>
                </c:pt>
                <c:pt idx="3">
                  <c:v>Nld 07/2015</c:v>
                </c:pt>
                <c:pt idx="4">
                  <c:v>Ita 11/2015</c:v>
                </c:pt>
                <c:pt idx="5">
                  <c:v>Lux 06/2016</c:v>
                </c:pt>
                <c:pt idx="6">
                  <c:v>Prt 01/2017</c:v>
                </c:pt>
                <c:pt idx="7">
                  <c:v>Fra 07/2017</c:v>
                </c:pt>
                <c:pt idx="8">
                  <c:v>Aut 07/2017</c:v>
                </c:pt>
                <c:pt idx="9">
                  <c:v>Nor 11/2017</c:v>
                </c:pt>
                <c:pt idx="10">
                  <c:v>Esp 12/2017</c:v>
                </c:pt>
                <c:pt idx="11">
                  <c:v>Swe 03/2018</c:v>
                </c:pt>
                <c:pt idx="12">
                  <c:v>Gbr 03/2018</c:v>
                </c:pt>
                <c:pt idx="13">
                  <c:v>Fin 05/2018</c:v>
                </c:pt>
                <c:pt idx="14">
                  <c:v>Deu 06/2018</c:v>
                </c:pt>
                <c:pt idx="15">
                  <c:v>Dnk 01/2019</c:v>
                </c:pt>
                <c:pt idx="16">
                  <c:v>WACC 2019</c:v>
                </c:pt>
              </c:strCache>
            </c:strRef>
          </c:cat>
          <c:val>
            <c:numRef>
              <c:f>'To Ms Word B'!$E$120:$E$136</c:f>
              <c:numCache>
                <c:formatCode>0.00%</c:formatCode>
                <c:ptCount val="17"/>
                <c:pt idx="3">
                  <c:v>2.6100000000000005E-2</c:v>
                </c:pt>
                <c:pt idx="4">
                  <c:v>1.2000000000000011E-2</c:v>
                </c:pt>
                <c:pt idx="5">
                  <c:v>6.1000000000000082E-3</c:v>
                </c:pt>
                <c:pt idx="12">
                  <c:v>1.0000000000000009E-2</c:v>
                </c:pt>
                <c:pt idx="13">
                  <c:v>1.0999999999999996E-2</c:v>
                </c:pt>
                <c:pt idx="15">
                  <c:v>2.0000000000000004E-2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EA-4E41-8CDC-39D20AF373D2}"/>
            </c:ext>
          </c:extLst>
        </c:ser>
        <c:ser>
          <c:idx val="3"/>
          <c:order val="3"/>
          <c:tx>
            <c:strRef>
              <c:f>'To Ms Word B'!$F$119</c:f>
              <c:strCache>
                <c:ptCount val="1"/>
                <c:pt idx="0">
                  <c:v>+ FttH (vs. FttC)     Cf. Notes 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6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1B7-46D4-9D59-479FC030755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 Ms Word B'!$B$120:$B$136</c:f>
              <c:strCache>
                <c:ptCount val="17"/>
                <c:pt idx="0">
                  <c:v>Swi 12/2013</c:v>
                </c:pt>
                <c:pt idx="1">
                  <c:v>Irl 12/2014</c:v>
                </c:pt>
                <c:pt idx="2">
                  <c:v>WACC 2015</c:v>
                </c:pt>
                <c:pt idx="3">
                  <c:v>Nld 07/2015</c:v>
                </c:pt>
                <c:pt idx="4">
                  <c:v>Ita 11/2015</c:v>
                </c:pt>
                <c:pt idx="5">
                  <c:v>Lux 06/2016</c:v>
                </c:pt>
                <c:pt idx="6">
                  <c:v>Prt 01/2017</c:v>
                </c:pt>
                <c:pt idx="7">
                  <c:v>Fra 07/2017</c:v>
                </c:pt>
                <c:pt idx="8">
                  <c:v>Aut 07/2017</c:v>
                </c:pt>
                <c:pt idx="9">
                  <c:v>Nor 11/2017</c:v>
                </c:pt>
                <c:pt idx="10">
                  <c:v>Esp 12/2017</c:v>
                </c:pt>
                <c:pt idx="11">
                  <c:v>Swe 03/2018</c:v>
                </c:pt>
                <c:pt idx="12">
                  <c:v>Gbr 03/2018</c:v>
                </c:pt>
                <c:pt idx="13">
                  <c:v>Fin 05/2018</c:v>
                </c:pt>
                <c:pt idx="14">
                  <c:v>Deu 06/2018</c:v>
                </c:pt>
                <c:pt idx="15">
                  <c:v>Dnk 01/2019</c:v>
                </c:pt>
                <c:pt idx="16">
                  <c:v>WACC 2019</c:v>
                </c:pt>
              </c:strCache>
            </c:strRef>
          </c:cat>
          <c:val>
            <c:numRef>
              <c:f>'To Ms Word B'!$F$120:$F$136</c:f>
              <c:numCache>
                <c:formatCode>0.00%</c:formatCode>
                <c:ptCount val="17"/>
                <c:pt idx="4">
                  <c:v>1.999999999999999E-2</c:v>
                </c:pt>
                <c:pt idx="16">
                  <c:v>1.6463534664179935E-2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EA-4E41-8CDC-39D20AF37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434176"/>
        <c:axId val="132444160"/>
      </c:barChart>
      <c:catAx>
        <c:axId val="132434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32444160"/>
        <c:crosses val="autoZero"/>
        <c:auto val="1"/>
        <c:lblAlgn val="ctr"/>
        <c:lblOffset val="100"/>
        <c:noMultiLvlLbl val="0"/>
      </c:catAx>
      <c:valAx>
        <c:axId val="132444160"/>
        <c:scaling>
          <c:orientation val="minMax"/>
          <c:max val="0.12000000000000002"/>
          <c:min val="4.000000000000002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cross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32434176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53765377446891"/>
          <c:y val="0.93887136807886162"/>
          <c:w val="0.86620224480924957"/>
          <c:h val="6.1128669501811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14</xdr:col>
      <xdr:colOff>66675</xdr:colOff>
      <xdr:row>46</xdr:row>
      <xdr:rowOff>19050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784860" y="8595360"/>
          <a:ext cx="16777335" cy="19050"/>
          <a:chOff x="0" y="0"/>
          <a:chExt cx="15706" cy="31"/>
        </a:xfrm>
      </xdr:grpSpPr>
      <xdr:sp macro="" textlink="">
        <xdr:nvSpPr>
          <xdr:cNvPr id="3" name="Line 6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0" y="15"/>
            <a:ext cx="15706" cy="0"/>
          </a:xfrm>
          <a:prstGeom prst="line">
            <a:avLst/>
          </a:prstGeom>
          <a:noFill/>
          <a:ln w="19517">
            <a:solidFill>
              <a:srgbClr val="BEDCDE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179017</xdr:colOff>
      <xdr:row>5</xdr:row>
      <xdr:rowOff>141521</xdr:rowOff>
    </xdr:from>
    <xdr:to>
      <xdr:col>23</xdr:col>
      <xdr:colOff>314476</xdr:colOff>
      <xdr:row>24</xdr:row>
      <xdr:rowOff>99182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364068</xdr:colOff>
      <xdr:row>93</xdr:row>
      <xdr:rowOff>93132</xdr:rowOff>
    </xdr:from>
    <xdr:to>
      <xdr:col>7</xdr:col>
      <xdr:colOff>550336</xdr:colOff>
      <xdr:row>114</xdr:row>
      <xdr:rowOff>8465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406401</xdr:colOff>
      <xdr:row>93</xdr:row>
      <xdr:rowOff>93132</xdr:rowOff>
    </xdr:from>
    <xdr:to>
      <xdr:col>20</xdr:col>
      <xdr:colOff>228601</xdr:colOff>
      <xdr:row>114</xdr:row>
      <xdr:rowOff>16931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499533</xdr:colOff>
      <xdr:row>117</xdr:row>
      <xdr:rowOff>50801</xdr:rowOff>
    </xdr:from>
    <xdr:to>
      <xdr:col>20</xdr:col>
      <xdr:colOff>270933</xdr:colOff>
      <xdr:row>138</xdr:row>
      <xdr:rowOff>84668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179017</xdr:colOff>
      <xdr:row>5</xdr:row>
      <xdr:rowOff>141521</xdr:rowOff>
    </xdr:from>
    <xdr:to>
      <xdr:col>23</xdr:col>
      <xdr:colOff>314476</xdr:colOff>
      <xdr:row>24</xdr:row>
      <xdr:rowOff>99182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364068</xdr:colOff>
      <xdr:row>93</xdr:row>
      <xdr:rowOff>93132</xdr:rowOff>
    </xdr:from>
    <xdr:to>
      <xdr:col>7</xdr:col>
      <xdr:colOff>550336</xdr:colOff>
      <xdr:row>114</xdr:row>
      <xdr:rowOff>8465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406401</xdr:colOff>
      <xdr:row>93</xdr:row>
      <xdr:rowOff>93132</xdr:rowOff>
    </xdr:from>
    <xdr:to>
      <xdr:col>20</xdr:col>
      <xdr:colOff>228601</xdr:colOff>
      <xdr:row>114</xdr:row>
      <xdr:rowOff>16931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499533</xdr:colOff>
      <xdr:row>117</xdr:row>
      <xdr:rowOff>50801</xdr:rowOff>
    </xdr:from>
    <xdr:to>
      <xdr:col>20</xdr:col>
      <xdr:colOff>270933</xdr:colOff>
      <xdr:row>138</xdr:row>
      <xdr:rowOff>84668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kom.no/marked/markedsregulering-smp/%C3%B8konomisk-regulering/kapitalkostnad-wacc/_attachment/31138?_download=true&amp;amp;_ts=1600212c146" TargetMode="External"/><Relationship Id="rId13" Type="http://schemas.openxmlformats.org/officeDocument/2006/relationships/hyperlink" Target="http://www.bipt.be/en/operators/telecommunication/Markets/price-and-cost-monitoring/cost-accounting/bipt-council-decision-of-26-february-2015-regarding-the-cost-of-capital-for-operators-with-a-significant-market-power-in-belgium" TargetMode="External"/><Relationship Id="rId18" Type="http://schemas.openxmlformats.org/officeDocument/2006/relationships/hyperlink" Target="https://www.anacom.pt/render.jsp?contentId=1413470" TargetMode="External"/><Relationship Id="rId26" Type="http://schemas.openxmlformats.org/officeDocument/2006/relationships/hyperlink" Target="http://www.cullen-international.com/product/binarydocs/18313" TargetMode="External"/><Relationship Id="rId39" Type="http://schemas.openxmlformats.org/officeDocument/2006/relationships/hyperlink" Target="https://www.viestintavirasto.fi/ohjausjavalvonta/ohjeetjajulkaisut/ohjeidentulkintojensuositustenjaselvitystenasiakirjat/kohtuullinensitoutuneenpaaomantuottokiinteassateleverkkotoiminnassamatkaviestinverkkotoiminnassajadigitaalistentelevisiolahetyspalvelujentoiminnassa_2.html" TargetMode="External"/><Relationship Id="rId3" Type="http://schemas.openxmlformats.org/officeDocument/2006/relationships/hyperlink" Target="https://www.cullen-international.com/product/documents/sections/?section=11c28b99-cf48-4be5-877a-452d2a7b936f&amp;amp;orderBy=country&amp;amp;uniqueNumber=B5TEEU20180004" TargetMode="External"/><Relationship Id="rId21" Type="http://schemas.openxmlformats.org/officeDocument/2006/relationships/hyperlink" Target="http://www.bipt.be/en/operators/telecommunication/Markets/price-and-cost-monitoring/cost-accounting/bipt-council-decision-of-26-february-2015-regarding-the-cost-of-capital-for-operators-with-a-significant-market-power-in-belgium" TargetMode="External"/><Relationship Id="rId34" Type="http://schemas.openxmlformats.org/officeDocument/2006/relationships/hyperlink" Target="http://www.pts.se/sv/Dokument/Beslut/Tele/2016/Beslut-om-skyldigheter-pa-marknaden-for-mobil-samtalsterminering/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s://www.acm.nl/en/download/publication/?id=14471" TargetMode="External"/><Relationship Id="rId12" Type="http://schemas.openxmlformats.org/officeDocument/2006/relationships/hyperlink" Target="https://www.comcom.admin.ch/comcom/de/home/die-kommission/entscheide/letzte-entscheide.html" TargetMode="External"/><Relationship Id="rId17" Type="http://schemas.openxmlformats.org/officeDocument/2006/relationships/hyperlink" Target="https://circabc.europa.eu/sd/a/13c5093b-088d-45cd-b6fe-291b9ebf5de9/NL-2016-1947%20Adopted_EN_PUBLIC.pdf" TargetMode="External"/><Relationship Id="rId25" Type="http://schemas.openxmlformats.org/officeDocument/2006/relationships/hyperlink" Target="https://www.cullen-international.com/product/documents/sections/?section=11c28b99-cf48-4be5-877a-452d2a7b936f&amp;amp;orderBy=country&amp;amp;uniqueNumber=B5TEEU20180004" TargetMode="External"/><Relationship Id="rId33" Type="http://schemas.openxmlformats.org/officeDocument/2006/relationships/hyperlink" Target="https://www.cnmc.es/sites/default/files/1889867_0.pdf" TargetMode="External"/><Relationship Id="rId38" Type="http://schemas.openxmlformats.org/officeDocument/2006/relationships/hyperlink" Target="http://www.cullen-international.com/product/binarydocs/19098" TargetMode="External"/><Relationship Id="rId2" Type="http://schemas.openxmlformats.org/officeDocument/2006/relationships/hyperlink" Target="https://www.bundesnetzagentur.de/DE/Sachgebiete/Telekommunikation/Unternehmen_Institutionen/Marktregulierung/massstaebe_methoden/Kapitalkostensatz/kapitalkostensatz-node.html" TargetMode="External"/><Relationship Id="rId16" Type="http://schemas.openxmlformats.org/officeDocument/2006/relationships/hyperlink" Target="http://www.cullen-international.com/product/binarydocs/19975" TargetMode="External"/><Relationship Id="rId20" Type="http://schemas.openxmlformats.org/officeDocument/2006/relationships/hyperlink" Target="http://www.cullen-international.com/product/binarydocs/10356" TargetMode="External"/><Relationship Id="rId29" Type="http://schemas.openxmlformats.org/officeDocument/2006/relationships/hyperlink" Target="http://www.agcom.it/visualizza-documento/c0dc0d62-f3e7-4179-9b73-c015c115db8d" TargetMode="External"/><Relationship Id="rId41" Type="http://schemas.openxmlformats.org/officeDocument/2006/relationships/printerSettings" Target="../printerSettings/printerSettings3.bin"/><Relationship Id="rId1" Type="http://schemas.openxmlformats.org/officeDocument/2006/relationships/hyperlink" Target="https://www.legifrance.gouv.fr/affichTexte.do?cidTexte=JORFTEXT000035468968" TargetMode="External"/><Relationship Id="rId6" Type="http://schemas.openxmlformats.org/officeDocument/2006/relationships/hyperlink" Target="http://www.comreg.ie/_fileupload/publications/ComReg14136.pdf" TargetMode="External"/><Relationship Id="rId11" Type="http://schemas.openxmlformats.org/officeDocument/2006/relationships/hyperlink" Target="https://www.pts.se/globalassets/startpage/dokument/icke-legala-dokument/remisser/2016/telefoni-o-internet/smd-eu/marknad-1/4.-pts-konsultationssvar-pa-samrad-uppdaterad-kalkylranta-for-det-fasta-natet.pdf" TargetMode="External"/><Relationship Id="rId24" Type="http://schemas.openxmlformats.org/officeDocument/2006/relationships/hyperlink" Target="https://www.bundesnetzagentur.de/DE/Sachgebiete/Telekommunikation/Unternehmen_Institutionen/Marktregulierung/massstaebe_methoden/Kapitalkostensatz/kapitalkostensatz-node.html" TargetMode="External"/><Relationship Id="rId32" Type="http://schemas.openxmlformats.org/officeDocument/2006/relationships/hyperlink" Target="https://www.anacom.pt/render.jsp?contentId=1455136" TargetMode="External"/><Relationship Id="rId37" Type="http://schemas.openxmlformats.org/officeDocument/2006/relationships/hyperlink" Target="http://www.bipt.be/en/operators/telecommunication/Markets/price-and-cost-monitoring/cost-accounting/bipt-council-decision-of-26-february-2015-regarding-the-cost-of-capital-for-operators-with-a-significant-market-power-in-belgium" TargetMode="External"/><Relationship Id="rId40" Type="http://schemas.openxmlformats.org/officeDocument/2006/relationships/hyperlink" Target="https://www.viestintavirasto.fi/ohjausjavalvonta/ohjeetjajulkaisut/ohjeidentulkintojensuositustenjaselvitystenasiakirjat/kohtuullinensitoutuneenpaaomantuottokiinteassateleverkkotoiminnassamatkaviestinverkkotoiminnassajadigitaalistentelevisiolahetyspalvelujentoiminnassa_2.html" TargetMode="External"/><Relationship Id="rId5" Type="http://schemas.openxmlformats.org/officeDocument/2006/relationships/hyperlink" Target="http://www.cullen-international.com/product/binarydocs/17268" TargetMode="External"/><Relationship Id="rId15" Type="http://schemas.openxmlformats.org/officeDocument/2006/relationships/hyperlink" Target="https://www.cullen-international.com/product/documents/sections/?section=11c28b99-cf48-4be5-877a-452d2a7b936f&amp;amp;orderBy=country&amp;amp;uniqueNumber=B5TEEU20180004" TargetMode="External"/><Relationship Id="rId23" Type="http://schemas.openxmlformats.org/officeDocument/2006/relationships/hyperlink" Target="https://www.legifrance.gouv.fr/affichTexte.do?cidTexte=JORFTEXT000035468968" TargetMode="External"/><Relationship Id="rId28" Type="http://schemas.openxmlformats.org/officeDocument/2006/relationships/hyperlink" Target="http://www.comreg.ie/_fileupload/publications/ComReg14136.pdf" TargetMode="External"/><Relationship Id="rId36" Type="http://schemas.openxmlformats.org/officeDocument/2006/relationships/hyperlink" Target="https://www.viestintavirasto.fi/ohjausjavalvonta/ohjeetjajulkaisut/ohjeidentulkintojensuositustenjaselvitystenasiakirjat/kohtuullinensitoutuneenpaaomantuottokiinteassateleverkkotoiminnassamatkaviestinverkkotoiminnassajadigitaalistentelevisiolahetyspalvelujentoiminnassa_2.html" TargetMode="External"/><Relationship Id="rId10" Type="http://schemas.openxmlformats.org/officeDocument/2006/relationships/hyperlink" Target="https://www.cnmc.es/sites/default/files/1889867_0.pdf" TargetMode="External"/><Relationship Id="rId19" Type="http://schemas.openxmlformats.org/officeDocument/2006/relationships/hyperlink" Target="https://www.cnmc.es/file/170783/download" TargetMode="External"/><Relationship Id="rId31" Type="http://schemas.openxmlformats.org/officeDocument/2006/relationships/hyperlink" Target="https://www.nkom.no/marked/markedsregulering-smp/%C3%B8konomisk-regulering/kapitalkostnad-wacc/_attachment/31121?_download=true&amp;amp;_ts=15ffdf8eec1" TargetMode="External"/><Relationship Id="rId4" Type="http://schemas.openxmlformats.org/officeDocument/2006/relationships/hyperlink" Target="http://www.cullen-international.com/product/binarydocs/19975" TargetMode="External"/><Relationship Id="rId9" Type="http://schemas.openxmlformats.org/officeDocument/2006/relationships/hyperlink" Target="https://www.anacom.pt/render.jsp?contentId=1413470" TargetMode="External"/><Relationship Id="rId14" Type="http://schemas.openxmlformats.org/officeDocument/2006/relationships/hyperlink" Target="https://www.bundesnetzagentur.de/DE/Sachgebiete/Telekommunikation/Unternehmen_Institutionen/Marktregulierung/massstaebe_methoden/Kapitalkostensatz/kapitalkostensatz-node.html" TargetMode="External"/><Relationship Id="rId22" Type="http://schemas.openxmlformats.org/officeDocument/2006/relationships/hyperlink" Target="https://www.viestintavirasto.fi/ohjausjavalvonta/ohjeetjajulkaisut/ohjeidentulkintojensuositustenjaselvitystenasiakirjat/kohtuullinensitoutuneenpaaomantuottokiinteassateleverkkotoiminnassamatkaviestinverkkotoiminnassajadigitaalistentelevisiolahetyspalvelujentoiminnassa_2.html" TargetMode="External"/><Relationship Id="rId27" Type="http://schemas.openxmlformats.org/officeDocument/2006/relationships/hyperlink" Target="http://www.eett.gr/opencms/opencms/admin/downloads/telec/apofaseis_eett/kanonistikes_apofaseis_eett/AP675_010.pdf" TargetMode="External"/><Relationship Id="rId30" Type="http://schemas.openxmlformats.org/officeDocument/2006/relationships/hyperlink" Target="https://www.acm.nl/nl/download/publicatie/?id=11385" TargetMode="External"/><Relationship Id="rId35" Type="http://schemas.openxmlformats.org/officeDocument/2006/relationships/hyperlink" Target="http://pts.se/upload/Remisser/2016/Samtrafik%20o%20mobil%20lric/15-4802-samrad-kalkylrantan-mobila-nat-uppdatering-2016-PTS-ER-2016_5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X445"/>
  <sheetViews>
    <sheetView showGridLines="0" showZeros="0" topLeftCell="B1" zoomScale="90" zoomScaleNormal="90" workbookViewId="0">
      <pane xSplit="2" ySplit="1" topLeftCell="E2" activePane="bottomRight" state="frozen"/>
      <selection activeCell="B1" sqref="B1"/>
      <selection pane="topRight" activeCell="D1" sqref="D1"/>
      <selection pane="bottomLeft" activeCell="B2" sqref="B2"/>
      <selection pane="bottomRight" activeCell="G3" sqref="G3"/>
    </sheetView>
  </sheetViews>
  <sheetFormatPr baseColWidth="10" defaultColWidth="11.5546875" defaultRowHeight="13.2"/>
  <cols>
    <col min="1" max="1" width="22.109375" style="367" bestFit="1" customWidth="1"/>
    <col min="2" max="2" width="17" style="370" customWidth="1"/>
    <col min="3" max="3" width="8" style="345" customWidth="1"/>
    <col min="4" max="4" width="3.109375" style="310" customWidth="1"/>
    <col min="5" max="11" width="9.6640625" style="324" customWidth="1"/>
    <col min="12" max="12" width="3.44140625" style="324" customWidth="1"/>
    <col min="13" max="13" width="3.109375" style="310" customWidth="1"/>
    <col min="14" max="14" width="9" style="337" customWidth="1"/>
    <col min="15" max="21" width="9.6640625" style="324" customWidth="1"/>
    <col min="22" max="22" width="3.44140625" style="331" customWidth="1"/>
    <col min="23" max="23" width="3.109375" style="310" customWidth="1"/>
    <col min="24" max="24" width="8" style="345" customWidth="1"/>
    <col min="25" max="31" width="9.6640625" style="324" customWidth="1"/>
    <col min="32" max="32" width="3.44140625" style="324" customWidth="1"/>
    <col min="33" max="34" width="2.33203125" style="337" customWidth="1"/>
    <col min="35" max="35" width="8.33203125" style="373" customWidth="1"/>
    <col min="36" max="36" width="11.5546875" style="353"/>
    <col min="37" max="37" width="10.6640625" style="324" customWidth="1"/>
    <col min="38" max="39" width="11.109375" style="324" customWidth="1"/>
    <col min="40" max="40" width="10.109375" style="324" bestFit="1" customWidth="1"/>
    <col min="41" max="41" width="3.44140625" style="331" customWidth="1"/>
    <col min="42" max="42" width="2.33203125" style="337" customWidth="1"/>
    <col min="43" max="43" width="7.5546875" style="331" customWidth="1"/>
    <col min="44" max="46" width="10.109375" style="331" customWidth="1"/>
    <col min="47" max="47" width="10.109375" style="347" customWidth="1"/>
    <col min="48" max="48" width="10.109375" style="331" customWidth="1"/>
    <col min="49" max="49" width="3.44140625" style="331" customWidth="1"/>
    <col min="50" max="50" width="2.33203125" style="337" customWidth="1"/>
    <col min="51" max="16384" width="11.5546875" style="356"/>
  </cols>
  <sheetData>
    <row r="1" spans="1:50" s="374" customFormat="1">
      <c r="A1" s="30"/>
      <c r="B1" s="587">
        <v>2019</v>
      </c>
      <c r="C1" s="135" t="s">
        <v>256</v>
      </c>
      <c r="D1" s="308"/>
      <c r="E1" s="134" t="s">
        <v>1</v>
      </c>
      <c r="F1" s="135" t="s">
        <v>87</v>
      </c>
      <c r="G1" s="135" t="s">
        <v>88</v>
      </c>
      <c r="H1" s="134" t="s">
        <v>25</v>
      </c>
      <c r="I1" s="135" t="s">
        <v>89</v>
      </c>
      <c r="J1" s="134" t="s">
        <v>86</v>
      </c>
      <c r="K1" s="135" t="s">
        <v>21</v>
      </c>
      <c r="L1" s="4"/>
      <c r="M1" s="308"/>
      <c r="N1" s="432" t="s">
        <v>260</v>
      </c>
      <c r="O1" s="134" t="s">
        <v>1</v>
      </c>
      <c r="P1" s="435" t="s">
        <v>87</v>
      </c>
      <c r="Q1" s="435" t="s">
        <v>88</v>
      </c>
      <c r="R1" s="134" t="s">
        <v>25</v>
      </c>
      <c r="S1" s="435" t="s">
        <v>89</v>
      </c>
      <c r="T1" s="134" t="s">
        <v>86</v>
      </c>
      <c r="U1" s="435" t="s">
        <v>21</v>
      </c>
      <c r="V1" s="3"/>
      <c r="W1" s="308"/>
      <c r="X1" s="435" t="s">
        <v>261</v>
      </c>
      <c r="Y1" s="134" t="s">
        <v>1</v>
      </c>
      <c r="Z1" s="435" t="s">
        <v>87</v>
      </c>
      <c r="AA1" s="435" t="s">
        <v>88</v>
      </c>
      <c r="AB1" s="134" t="s">
        <v>25</v>
      </c>
      <c r="AC1" s="435" t="s">
        <v>89</v>
      </c>
      <c r="AD1" s="134" t="s">
        <v>86</v>
      </c>
      <c r="AE1" s="435" t="s">
        <v>21</v>
      </c>
      <c r="AF1" s="4"/>
      <c r="AG1" s="333"/>
      <c r="AH1" s="333"/>
      <c r="AI1" s="482" t="s">
        <v>257</v>
      </c>
      <c r="AJ1" s="134" t="s">
        <v>1</v>
      </c>
      <c r="AK1" s="481" t="s">
        <v>87</v>
      </c>
      <c r="AL1" s="134" t="s">
        <v>25</v>
      </c>
      <c r="AM1" s="134" t="s">
        <v>86</v>
      </c>
      <c r="AN1" s="481" t="s">
        <v>21</v>
      </c>
      <c r="AO1" s="3"/>
      <c r="AP1" s="333"/>
      <c r="AQ1" s="483" t="s">
        <v>258</v>
      </c>
      <c r="AR1" s="161" t="s">
        <v>3</v>
      </c>
      <c r="AS1" s="426" t="s">
        <v>40</v>
      </c>
      <c r="AT1" s="161" t="s">
        <v>25</v>
      </c>
      <c r="AU1" s="161" t="s">
        <v>2</v>
      </c>
      <c r="AV1" s="426" t="s">
        <v>21</v>
      </c>
      <c r="AW1" s="3"/>
      <c r="AX1" s="333"/>
    </row>
    <row r="2" spans="1:50" s="375" customFormat="1">
      <c r="A2" s="144"/>
      <c r="B2" s="157" t="s">
        <v>37</v>
      </c>
      <c r="C2" s="120"/>
      <c r="D2" s="309"/>
      <c r="E2" s="93" t="s">
        <v>38</v>
      </c>
      <c r="F2" s="121" t="s">
        <v>38</v>
      </c>
      <c r="G2" s="93" t="s">
        <v>38</v>
      </c>
      <c r="H2" s="93" t="s">
        <v>38</v>
      </c>
      <c r="I2" s="93" t="s">
        <v>38</v>
      </c>
      <c r="J2" s="93" t="s">
        <v>38</v>
      </c>
      <c r="K2" s="93" t="s">
        <v>38</v>
      </c>
      <c r="L2" s="4"/>
      <c r="M2" s="308"/>
      <c r="N2" s="427"/>
      <c r="O2" s="93" t="s">
        <v>38</v>
      </c>
      <c r="P2" s="93" t="s">
        <v>38</v>
      </c>
      <c r="Q2" s="93" t="s">
        <v>38</v>
      </c>
      <c r="R2" s="93" t="s">
        <v>38</v>
      </c>
      <c r="S2" s="93" t="s">
        <v>38</v>
      </c>
      <c r="T2" s="93" t="s">
        <v>38</v>
      </c>
      <c r="U2" s="93" t="s">
        <v>38</v>
      </c>
      <c r="V2" s="5"/>
      <c r="W2" s="309"/>
      <c r="X2" s="5"/>
      <c r="Y2" s="93" t="s">
        <v>38</v>
      </c>
      <c r="Z2" s="121" t="s">
        <v>38</v>
      </c>
      <c r="AA2" s="93" t="s">
        <v>38</v>
      </c>
      <c r="AB2" s="93" t="s">
        <v>38</v>
      </c>
      <c r="AC2" s="93" t="s">
        <v>38</v>
      </c>
      <c r="AD2" s="93" t="s">
        <v>38</v>
      </c>
      <c r="AE2" s="93" t="s">
        <v>38</v>
      </c>
      <c r="AF2" s="4"/>
      <c r="AG2" s="334"/>
      <c r="AH2" s="334"/>
      <c r="AI2" s="4"/>
      <c r="AJ2" s="55" t="str">
        <f>IF(E2=$AR$2,"","!!!")</f>
        <v/>
      </c>
      <c r="AK2" s="55" t="str">
        <f>IF(F2=$AR$2,"","!!!")</f>
        <v/>
      </c>
      <c r="AL2" s="55" t="str">
        <f>IF(K2=$AR$2,"","!!!")</f>
        <v/>
      </c>
      <c r="AM2" s="55"/>
      <c r="AN2" s="55" t="str">
        <f>IF(J2=$AR$2,"","!!!")</f>
        <v/>
      </c>
      <c r="AO2" s="5"/>
      <c r="AP2" s="334"/>
      <c r="AQ2" s="3"/>
      <c r="AR2" s="93" t="s">
        <v>38</v>
      </c>
      <c r="AS2" s="93" t="s">
        <v>38</v>
      </c>
      <c r="AT2" s="93" t="s">
        <v>38</v>
      </c>
      <c r="AU2" s="93" t="s">
        <v>38</v>
      </c>
      <c r="AV2" s="93" t="s">
        <v>38</v>
      </c>
      <c r="AW2" s="5"/>
      <c r="AX2" s="334"/>
    </row>
    <row r="3" spans="1:50">
      <c r="A3" s="144" t="s">
        <v>5</v>
      </c>
      <c r="B3" s="625" t="s">
        <v>0</v>
      </c>
      <c r="C3" s="626"/>
      <c r="E3" s="451">
        <f>$E$39/100</f>
        <v>8.2095949624190374E-3</v>
      </c>
      <c r="F3" s="452">
        <f>$E$39/100</f>
        <v>8.2095949624190374E-3</v>
      </c>
      <c r="G3" s="453">
        <f>$E$39/100</f>
        <v>8.2095949624190374E-3</v>
      </c>
      <c r="H3" s="453">
        <f t="shared" ref="H3:K3" si="0">$E$39/100</f>
        <v>8.2095949624190374E-3</v>
      </c>
      <c r="I3" s="453">
        <f t="shared" si="0"/>
        <v>8.2095949624190374E-3</v>
      </c>
      <c r="J3" s="453">
        <f t="shared" si="0"/>
        <v>8.2095949624190374E-3</v>
      </c>
      <c r="K3" s="453">
        <f t="shared" si="0"/>
        <v>8.2095949624190374E-3</v>
      </c>
      <c r="L3" s="22"/>
      <c r="M3" s="308"/>
      <c r="N3" s="25" t="s">
        <v>0</v>
      </c>
      <c r="O3" s="453">
        <f>E3-Y3</f>
        <v>-2.5589050375809611E-3</v>
      </c>
      <c r="P3" s="472">
        <f t="shared" ref="P3:U3" si="1">F3-Z3</f>
        <v>-2.5589050375809611E-3</v>
      </c>
      <c r="Q3" s="453">
        <f t="shared" si="1"/>
        <v>-2.5589050375809611E-3</v>
      </c>
      <c r="R3" s="453">
        <f t="shared" si="1"/>
        <v>-2.5589050375809611E-3</v>
      </c>
      <c r="S3" s="453">
        <f t="shared" si="1"/>
        <v>-2.5589050375809611E-3</v>
      </c>
      <c r="T3" s="453">
        <f t="shared" si="1"/>
        <v>-2.5589050375809611E-3</v>
      </c>
      <c r="U3" s="453">
        <f t="shared" si="1"/>
        <v>-2.5589050375809611E-3</v>
      </c>
      <c r="V3" s="22"/>
      <c r="X3" s="25" t="s">
        <v>0</v>
      </c>
      <c r="Y3" s="451">
        <f>$Y$39/100</f>
        <v>1.0768499999999999E-2</v>
      </c>
      <c r="Z3" s="452">
        <f>$Y$39/100</f>
        <v>1.0768499999999999E-2</v>
      </c>
      <c r="AA3" s="453">
        <f>$Y$39/100</f>
        <v>1.0768499999999999E-2</v>
      </c>
      <c r="AB3" s="453">
        <f t="shared" ref="AB3:AE3" si="2">$Y$39/100</f>
        <v>1.0768499999999999E-2</v>
      </c>
      <c r="AC3" s="453">
        <f t="shared" si="2"/>
        <v>1.0768499999999999E-2</v>
      </c>
      <c r="AD3" s="453">
        <f t="shared" si="2"/>
        <v>1.0768499999999999E-2</v>
      </c>
      <c r="AE3" s="453">
        <f t="shared" si="2"/>
        <v>1.0768499999999999E-2</v>
      </c>
      <c r="AF3" s="22"/>
      <c r="AG3" s="334"/>
      <c r="AH3" s="334"/>
      <c r="AI3"/>
      <c r="AJ3" s="6"/>
      <c r="AK3" s="214">
        <f>F3-AS3</f>
        <v>-1.8093560356819569E-2</v>
      </c>
      <c r="AL3" s="6"/>
      <c r="AM3" s="6"/>
      <c r="AN3" s="6"/>
      <c r="AO3" s="22"/>
      <c r="AP3" s="334"/>
      <c r="AQ3" s="168"/>
      <c r="AR3" s="453">
        <f>$AS3</f>
        <v>2.6303155319238606E-2</v>
      </c>
      <c r="AS3" s="457">
        <v>2.6303155319238606E-2</v>
      </c>
      <c r="AT3" s="453">
        <f>$AS3</f>
        <v>2.6303155319238606E-2</v>
      </c>
      <c r="AU3" s="453">
        <f t="shared" ref="AU3:AV7" si="3">$AS3</f>
        <v>2.6303155319238606E-2</v>
      </c>
      <c r="AV3" s="453">
        <f t="shared" si="3"/>
        <v>2.6303155319238606E-2</v>
      </c>
      <c r="AW3" s="22"/>
      <c r="AX3" s="334"/>
    </row>
    <row r="4" spans="1:50" s="376" customFormat="1">
      <c r="A4" s="144" t="s">
        <v>23</v>
      </c>
      <c r="B4" s="627"/>
      <c r="C4" s="628"/>
      <c r="D4" s="310"/>
      <c r="E4" s="159"/>
      <c r="F4" s="454"/>
      <c r="G4" s="159"/>
      <c r="H4" s="159"/>
      <c r="I4" s="159"/>
      <c r="J4" s="159"/>
      <c r="K4" s="159"/>
      <c r="L4" s="155"/>
      <c r="M4" s="308"/>
      <c r="N4" s="211"/>
      <c r="O4" s="159"/>
      <c r="P4" s="473"/>
      <c r="Q4" s="159"/>
      <c r="R4" s="159"/>
      <c r="S4" s="159"/>
      <c r="T4" s="159"/>
      <c r="U4" s="159"/>
      <c r="V4" s="22"/>
      <c r="W4" s="310"/>
      <c r="X4" s="211"/>
      <c r="Y4" s="159"/>
      <c r="Z4" s="454"/>
      <c r="AA4" s="159"/>
      <c r="AB4" s="159"/>
      <c r="AC4" s="159"/>
      <c r="AD4" s="159"/>
      <c r="AE4" s="159"/>
      <c r="AF4" s="155"/>
      <c r="AG4" s="335"/>
      <c r="AH4" s="335"/>
      <c r="AI4" s="1"/>
      <c r="AJ4" s="6"/>
      <c r="AK4" s="202"/>
      <c r="AL4" s="6"/>
      <c r="AM4" s="6"/>
      <c r="AN4" s="6"/>
      <c r="AO4" s="22"/>
      <c r="AP4" s="335"/>
      <c r="AQ4" s="488" t="s">
        <v>24</v>
      </c>
      <c r="AR4" s="159">
        <f>$AS4</f>
        <v>6.4031868806607058E-3</v>
      </c>
      <c r="AS4" s="458">
        <v>6.4031868806607058E-3</v>
      </c>
      <c r="AT4" s="159">
        <f>$AS4</f>
        <v>6.4031868806607058E-3</v>
      </c>
      <c r="AU4" s="159">
        <f t="shared" si="3"/>
        <v>6.4031868806607058E-3</v>
      </c>
      <c r="AV4" s="159">
        <f t="shared" si="3"/>
        <v>6.4031868806607058E-3</v>
      </c>
      <c r="AW4" s="22"/>
      <c r="AX4" s="335"/>
    </row>
    <row r="5" spans="1:50">
      <c r="A5" s="144" t="s">
        <v>6</v>
      </c>
      <c r="B5" s="625" t="s">
        <v>81</v>
      </c>
      <c r="C5" s="626"/>
      <c r="E5" s="451">
        <f>$E38/100</f>
        <v>6.7400534232237769E-2</v>
      </c>
      <c r="F5" s="452">
        <f>$E38/100</f>
        <v>6.7400534232237769E-2</v>
      </c>
      <c r="G5" s="453">
        <f>$E38/100</f>
        <v>6.7400534232237769E-2</v>
      </c>
      <c r="H5" s="453">
        <f t="shared" ref="H5:K5" si="4">$E38/100</f>
        <v>6.7400534232237769E-2</v>
      </c>
      <c r="I5" s="453">
        <f t="shared" si="4"/>
        <v>6.7400534232237769E-2</v>
      </c>
      <c r="J5" s="453">
        <f t="shared" si="4"/>
        <v>6.7400534232237769E-2</v>
      </c>
      <c r="K5" s="453">
        <f t="shared" si="4"/>
        <v>6.7400534232237769E-2</v>
      </c>
      <c r="L5" s="22"/>
      <c r="M5" s="308"/>
      <c r="N5" s="25" t="s">
        <v>107</v>
      </c>
      <c r="O5" s="453">
        <f>E5-Y5</f>
        <v>4.600534232237774E-3</v>
      </c>
      <c r="P5" s="472">
        <f t="shared" ref="P5" si="5">F5-Z5</f>
        <v>4.600534232237774E-3</v>
      </c>
      <c r="Q5" s="453">
        <f t="shared" ref="Q5" si="6">G5-AA5</f>
        <v>4.600534232237774E-3</v>
      </c>
      <c r="R5" s="453">
        <f t="shared" ref="R5" si="7">H5-AB5</f>
        <v>4.600534232237774E-3</v>
      </c>
      <c r="S5" s="453">
        <f t="shared" ref="S5" si="8">I5-AC5</f>
        <v>4.600534232237774E-3</v>
      </c>
      <c r="T5" s="453">
        <f t="shared" ref="T5" si="9">J5-AD5</f>
        <v>4.600534232237774E-3</v>
      </c>
      <c r="U5" s="453">
        <f t="shared" ref="U5" si="10">K5-AE5</f>
        <v>4.600534232237774E-3</v>
      </c>
      <c r="V5" s="22"/>
      <c r="X5" s="25" t="s">
        <v>107</v>
      </c>
      <c r="Y5" s="451">
        <f>$Y38/100</f>
        <v>6.2799999999999995E-2</v>
      </c>
      <c r="Z5" s="452">
        <f>$Y38/100</f>
        <v>6.2799999999999995E-2</v>
      </c>
      <c r="AA5" s="455">
        <f>$Y38/100</f>
        <v>6.2799999999999995E-2</v>
      </c>
      <c r="AB5" s="453">
        <f t="shared" ref="AB5:AE5" si="11">$Y38/100</f>
        <v>6.2799999999999995E-2</v>
      </c>
      <c r="AC5" s="453">
        <f t="shared" si="11"/>
        <v>6.2799999999999995E-2</v>
      </c>
      <c r="AD5" s="453">
        <f t="shared" si="11"/>
        <v>6.2799999999999995E-2</v>
      </c>
      <c r="AE5" s="453">
        <f t="shared" si="11"/>
        <v>6.2799999999999995E-2</v>
      </c>
      <c r="AF5" s="22"/>
      <c r="AG5" s="336"/>
      <c r="AH5" s="336"/>
      <c r="AI5"/>
      <c r="AJ5" s="6"/>
      <c r="AK5" s="214">
        <f>F5-AS5</f>
        <v>7.142556113736459E-3</v>
      </c>
      <c r="AL5" s="6"/>
      <c r="AM5" s="6"/>
      <c r="AN5" s="6"/>
      <c r="AO5" s="22"/>
      <c r="AP5" s="336"/>
      <c r="AQ5" s="488" t="s">
        <v>234</v>
      </c>
      <c r="AR5" s="453">
        <f>$AS5</f>
        <v>6.025797811850131E-2</v>
      </c>
      <c r="AS5" s="457">
        <f>0.0538547912378406+AS4</f>
        <v>6.025797811850131E-2</v>
      </c>
      <c r="AT5" s="453">
        <f>$AS5</f>
        <v>6.025797811850131E-2</v>
      </c>
      <c r="AU5" s="453">
        <f t="shared" si="3"/>
        <v>6.025797811850131E-2</v>
      </c>
      <c r="AV5" s="453">
        <f t="shared" si="3"/>
        <v>6.025797811850131E-2</v>
      </c>
      <c r="AW5" s="22"/>
      <c r="AX5" s="336"/>
    </row>
    <row r="6" spans="1:50" s="377" customFormat="1">
      <c r="A6" s="145"/>
      <c r="B6" s="627" t="s">
        <v>92</v>
      </c>
      <c r="C6" s="628"/>
      <c r="D6" s="311"/>
      <c r="E6" s="159">
        <f t="shared" ref="E6:K6" si="12">E3+E5</f>
        <v>7.5610129194656803E-2</v>
      </c>
      <c r="F6" s="456">
        <f t="shared" si="12"/>
        <v>7.5610129194656803E-2</v>
      </c>
      <c r="G6" s="159">
        <f t="shared" si="12"/>
        <v>7.5610129194656803E-2</v>
      </c>
      <c r="H6" s="159">
        <f t="shared" si="12"/>
        <v>7.5610129194656803E-2</v>
      </c>
      <c r="I6" s="159">
        <f t="shared" si="12"/>
        <v>7.5610129194656803E-2</v>
      </c>
      <c r="J6" s="159">
        <f t="shared" si="12"/>
        <v>7.5610129194656803E-2</v>
      </c>
      <c r="K6" s="159">
        <f t="shared" si="12"/>
        <v>7.5610129194656803E-2</v>
      </c>
      <c r="L6" s="10"/>
      <c r="M6" s="308"/>
      <c r="N6" s="439" t="s">
        <v>251</v>
      </c>
      <c r="O6" s="159">
        <f>E6-Y6</f>
        <v>2.0416291946568077E-3</v>
      </c>
      <c r="P6" s="474">
        <f t="shared" ref="P6:P7" si="13">F6-Z6</f>
        <v>2.0416291946568077E-3</v>
      </c>
      <c r="Q6" s="159">
        <f t="shared" ref="Q6:Q7" si="14">G6-AA6</f>
        <v>2.0416291946568077E-3</v>
      </c>
      <c r="R6" s="159">
        <f t="shared" ref="R6:R7" si="15">H6-AB6</f>
        <v>2.0416291946568077E-3</v>
      </c>
      <c r="S6" s="159">
        <f t="shared" ref="S6:S7" si="16">I6-AC6</f>
        <v>2.0416291946568077E-3</v>
      </c>
      <c r="T6" s="159">
        <f t="shared" ref="T6:T7" si="17">J6-AD6</f>
        <v>2.0416291946568077E-3</v>
      </c>
      <c r="U6" s="159">
        <f t="shared" ref="U6:U7" si="18">K6-AE6</f>
        <v>2.0416291946568077E-3</v>
      </c>
      <c r="V6" s="16"/>
      <c r="W6" s="311"/>
      <c r="X6" s="439" t="s">
        <v>251</v>
      </c>
      <c r="Y6" s="159">
        <f t="shared" ref="Y6:AE6" si="19">Y3+Y5</f>
        <v>7.3568499999999995E-2</v>
      </c>
      <c r="Z6" s="456">
        <f t="shared" si="19"/>
        <v>7.3568499999999995E-2</v>
      </c>
      <c r="AA6" s="159">
        <f t="shared" si="19"/>
        <v>7.3568499999999995E-2</v>
      </c>
      <c r="AB6" s="159">
        <f t="shared" si="19"/>
        <v>7.3568499999999995E-2</v>
      </c>
      <c r="AC6" s="159">
        <f t="shared" si="19"/>
        <v>7.3568499999999995E-2</v>
      </c>
      <c r="AD6" s="159">
        <f t="shared" si="19"/>
        <v>7.3568499999999995E-2</v>
      </c>
      <c r="AE6" s="159">
        <f t="shared" si="19"/>
        <v>7.3568499999999995E-2</v>
      </c>
      <c r="AF6" s="10"/>
      <c r="AG6" s="336"/>
      <c r="AH6" s="336"/>
      <c r="AI6" s="10"/>
      <c r="AJ6" s="6"/>
      <c r="AK6" s="206">
        <f>F6-AS6</f>
        <v>-1.0951004243083109E-2</v>
      </c>
      <c r="AL6" s="6"/>
      <c r="AM6" s="6"/>
      <c r="AN6" s="6"/>
      <c r="AO6" s="16"/>
      <c r="AP6" s="336"/>
      <c r="AQ6" s="484" t="s">
        <v>235</v>
      </c>
      <c r="AR6" s="159">
        <f>$AS6</f>
        <v>8.6561133437739912E-2</v>
      </c>
      <c r="AS6" s="456">
        <f>AS3+AS5</f>
        <v>8.6561133437739912E-2</v>
      </c>
      <c r="AT6" s="159">
        <f>$AS6</f>
        <v>8.6561133437739912E-2</v>
      </c>
      <c r="AU6" s="159">
        <f t="shared" si="3"/>
        <v>8.6561133437739912E-2</v>
      </c>
      <c r="AV6" s="159">
        <f t="shared" si="3"/>
        <v>8.6561133437739912E-2</v>
      </c>
      <c r="AW6" s="16"/>
      <c r="AX6" s="336"/>
    </row>
    <row r="7" spans="1:50">
      <c r="A7" s="144" t="s">
        <v>7</v>
      </c>
      <c r="B7" s="625" t="s">
        <v>8</v>
      </c>
      <c r="C7" s="626"/>
      <c r="E7" s="453">
        <f>$F$7</f>
        <v>0.29580000000000001</v>
      </c>
      <c r="F7" s="438">
        <f t="shared" ref="F7" si="20">VLOOKUP($B$1,$J$42:$K$44,2,FALSE)</f>
        <v>0.29580000000000001</v>
      </c>
      <c r="G7" s="455">
        <f>$F$7</f>
        <v>0.29580000000000001</v>
      </c>
      <c r="H7" s="453">
        <f t="shared" ref="H7:K7" si="21">$F$7</f>
        <v>0.29580000000000001</v>
      </c>
      <c r="I7" s="453">
        <f t="shared" si="21"/>
        <v>0.29580000000000001</v>
      </c>
      <c r="J7" s="453">
        <f t="shared" si="21"/>
        <v>0.29580000000000001</v>
      </c>
      <c r="K7" s="453">
        <f t="shared" si="21"/>
        <v>0.29580000000000001</v>
      </c>
      <c r="L7" s="22"/>
      <c r="M7" s="308"/>
      <c r="N7" s="25" t="s">
        <v>8</v>
      </c>
      <c r="O7" s="453">
        <f>E7-Y7</f>
        <v>5.8000000000000274E-3</v>
      </c>
      <c r="P7" s="8">
        <f t="shared" si="13"/>
        <v>5.8000000000000274E-3</v>
      </c>
      <c r="Q7" s="453">
        <f t="shared" si="14"/>
        <v>5.8000000000000274E-3</v>
      </c>
      <c r="R7" s="453">
        <f t="shared" si="15"/>
        <v>5.8000000000000274E-3</v>
      </c>
      <c r="S7" s="453">
        <f t="shared" si="16"/>
        <v>5.8000000000000274E-3</v>
      </c>
      <c r="T7" s="453">
        <f t="shared" si="17"/>
        <v>5.8000000000000274E-3</v>
      </c>
      <c r="U7" s="453">
        <f t="shared" si="18"/>
        <v>5.8000000000000274E-3</v>
      </c>
      <c r="V7" s="5"/>
      <c r="X7" s="25" t="s">
        <v>8</v>
      </c>
      <c r="Y7" s="453">
        <f t="shared" ref="Y7:AE7" si="22">VLOOKUP($B$1,$AD$42:$AE$44,2,FALSE)</f>
        <v>0.28999999999999998</v>
      </c>
      <c r="Z7" s="438">
        <f t="shared" si="22"/>
        <v>0.28999999999999998</v>
      </c>
      <c r="AA7" s="455">
        <f t="shared" si="22"/>
        <v>0.28999999999999998</v>
      </c>
      <c r="AB7" s="453">
        <f t="shared" si="22"/>
        <v>0.28999999999999998</v>
      </c>
      <c r="AC7" s="453">
        <f t="shared" si="22"/>
        <v>0.28999999999999998</v>
      </c>
      <c r="AD7" s="453">
        <f t="shared" si="22"/>
        <v>0.28999999999999998</v>
      </c>
      <c r="AE7" s="453">
        <f t="shared" si="22"/>
        <v>0.28999999999999998</v>
      </c>
      <c r="AF7" s="22"/>
      <c r="AG7" s="334"/>
      <c r="AH7" s="334"/>
      <c r="AI7"/>
      <c r="AJ7" s="6"/>
      <c r="AK7" s="15">
        <f>F7-AS7</f>
        <v>-4.4099999999999973E-2</v>
      </c>
      <c r="AL7" s="6"/>
      <c r="AM7" s="6"/>
      <c r="AN7" s="6"/>
      <c r="AO7" s="5"/>
      <c r="AP7" s="334"/>
      <c r="AQ7" s="168"/>
      <c r="AR7" s="453">
        <f>$AS7</f>
        <v>0.33989999999999998</v>
      </c>
      <c r="AS7" s="438">
        <v>0.33989999999999998</v>
      </c>
      <c r="AT7" s="453">
        <f>$AS7</f>
        <v>0.33989999999999998</v>
      </c>
      <c r="AU7" s="453">
        <f t="shared" si="3"/>
        <v>0.33989999999999998</v>
      </c>
      <c r="AV7" s="453">
        <f t="shared" si="3"/>
        <v>0.33989999999999998</v>
      </c>
      <c r="AW7" s="5"/>
      <c r="AX7" s="334"/>
    </row>
    <row r="8" spans="1:50" ht="13.2" customHeight="1">
      <c r="A8" s="144"/>
      <c r="B8" s="629"/>
      <c r="C8" s="630"/>
      <c r="D8" s="312"/>
      <c r="E8" s="53"/>
      <c r="F8" s="133"/>
      <c r="G8" s="53"/>
      <c r="H8" s="53"/>
      <c r="I8" s="53"/>
      <c r="J8" s="53"/>
      <c r="K8" s="53"/>
      <c r="L8" s="22"/>
      <c r="M8" s="308"/>
      <c r="N8" s="22"/>
      <c r="O8" s="53"/>
      <c r="P8" s="53"/>
      <c r="Q8" s="53"/>
      <c r="R8" s="53"/>
      <c r="S8" s="53"/>
      <c r="T8" s="53"/>
      <c r="U8" s="53"/>
      <c r="V8" s="22"/>
      <c r="W8" s="312"/>
      <c r="X8" s="22"/>
      <c r="Y8" s="53"/>
      <c r="Z8" s="133"/>
      <c r="AA8" s="53"/>
      <c r="AB8" s="53"/>
      <c r="AC8" s="53"/>
      <c r="AD8" s="53"/>
      <c r="AE8" s="53"/>
      <c r="AF8" s="22"/>
      <c r="AI8"/>
      <c r="AJ8" s="6"/>
      <c r="AK8" s="22"/>
      <c r="AL8" s="6"/>
      <c r="AM8" s="6"/>
      <c r="AN8" s="6"/>
      <c r="AO8" s="22"/>
      <c r="AQ8" s="168"/>
      <c r="AR8" s="160"/>
      <c r="AS8" s="53"/>
      <c r="AT8" s="53"/>
      <c r="AU8" s="53"/>
      <c r="AV8" s="53"/>
      <c r="AW8" s="22"/>
    </row>
    <row r="9" spans="1:50" s="376" customFormat="1">
      <c r="A9" s="144"/>
      <c r="B9" s="625" t="s">
        <v>55</v>
      </c>
      <c r="C9" s="626"/>
      <c r="D9" s="310"/>
      <c r="E9" s="29">
        <f t="shared" ref="E9:K9" si="23">E54</f>
        <v>0.40829845700533851</v>
      </c>
      <c r="F9" s="14">
        <f t="shared" si="23"/>
        <v>0.46457338169575724</v>
      </c>
      <c r="G9" s="14">
        <f t="shared" si="23"/>
        <v>0.46457338169575724</v>
      </c>
      <c r="H9" s="29">
        <f t="shared" si="23"/>
        <v>0.42492620770981193</v>
      </c>
      <c r="I9" s="14">
        <f t="shared" si="23"/>
        <v>0.45857090723353977</v>
      </c>
      <c r="J9" s="29">
        <f t="shared" si="23"/>
        <v>0.32904404996782249</v>
      </c>
      <c r="K9" s="14">
        <f t="shared" si="23"/>
        <v>0.31953636300369737</v>
      </c>
      <c r="L9" s="22"/>
      <c r="M9" s="308"/>
      <c r="N9" s="25" t="s">
        <v>42</v>
      </c>
      <c r="O9" s="15">
        <f>E9-Y9</f>
        <v>5.8298457005338533E-2</v>
      </c>
      <c r="P9" s="475">
        <f t="shared" ref="P9" si="24">F9-Z9</f>
        <v>7.4573381695757224E-2</v>
      </c>
      <c r="Q9" s="475">
        <f t="shared" ref="Q9" si="25">G9-AA9</f>
        <v>7.4573381695757224E-2</v>
      </c>
      <c r="R9" s="15">
        <f t="shared" ref="R9" si="26">H9-AB9</f>
        <v>7.4926207709811954E-2</v>
      </c>
      <c r="S9" s="475">
        <f t="shared" ref="S9" si="27">I9-AC9</f>
        <v>8.8570907233539775E-2</v>
      </c>
      <c r="T9" s="15">
        <f t="shared" ref="T9" si="28">J9-AD9</f>
        <v>3.9044049967822514E-2</v>
      </c>
      <c r="U9" s="475">
        <f t="shared" ref="U9" si="29">K9-AE9</f>
        <v>2.9536363003697386E-2</v>
      </c>
      <c r="V9" s="15"/>
      <c r="W9" s="310"/>
      <c r="X9" s="25" t="s">
        <v>42</v>
      </c>
      <c r="Y9" s="29">
        <f t="shared" ref="Y9:AE9" si="30">Y54</f>
        <v>0.35</v>
      </c>
      <c r="Z9" s="14">
        <f t="shared" si="30"/>
        <v>0.39</v>
      </c>
      <c r="AA9" s="14">
        <f t="shared" si="30"/>
        <v>0.39</v>
      </c>
      <c r="AB9" s="29">
        <f t="shared" si="30"/>
        <v>0.35</v>
      </c>
      <c r="AC9" s="14">
        <f t="shared" si="30"/>
        <v>0.37</v>
      </c>
      <c r="AD9" s="29">
        <f t="shared" si="30"/>
        <v>0.28999999999999998</v>
      </c>
      <c r="AE9" s="14">
        <f t="shared" si="30"/>
        <v>0.28999999999999998</v>
      </c>
      <c r="AF9" s="22"/>
      <c r="AG9" s="337"/>
      <c r="AH9" s="337"/>
      <c r="AI9" s="1"/>
      <c r="AJ9" s="15">
        <f>E9-AR9</f>
        <v>-1.1701542994661474E-2</v>
      </c>
      <c r="AK9" s="60">
        <f>F9-AS9</f>
        <v>4.4573381695757253E-2</v>
      </c>
      <c r="AL9" s="205">
        <f>H9-AT9</f>
        <v>4.9262077098119472E-3</v>
      </c>
      <c r="AM9" s="15">
        <f>J9-AU9</f>
        <v>-9.0955950032177491E-2</v>
      </c>
      <c r="AN9" s="60">
        <f>K9-AV9</f>
        <v>-0.10046363699630262</v>
      </c>
      <c r="AO9" s="15"/>
      <c r="AP9" s="337"/>
      <c r="AQ9" s="155"/>
      <c r="AR9" s="29">
        <v>0.42</v>
      </c>
      <c r="AS9" s="14">
        <v>0.42</v>
      </c>
      <c r="AT9" s="29">
        <v>0.42</v>
      </c>
      <c r="AU9" s="29">
        <v>0.42</v>
      </c>
      <c r="AV9" s="14">
        <v>0.42</v>
      </c>
      <c r="AW9" s="15"/>
      <c r="AX9" s="337"/>
    </row>
    <row r="10" spans="1:50" s="376" customFormat="1" ht="12.75" customHeight="1">
      <c r="A10" s="144" t="s">
        <v>44</v>
      </c>
      <c r="B10" s="631" t="s">
        <v>57</v>
      </c>
      <c r="C10" s="632"/>
      <c r="D10" s="311"/>
      <c r="E10" s="158">
        <f t="shared" ref="E10:K10" si="31">E9/(1-E9)</f>
        <v>0.69004122405849855</v>
      </c>
      <c r="F10" s="158">
        <f t="shared" si="31"/>
        <v>0.86766956631165293</v>
      </c>
      <c r="G10" s="158">
        <f t="shared" si="31"/>
        <v>0.86766956631165293</v>
      </c>
      <c r="H10" s="158">
        <f t="shared" si="31"/>
        <v>0.73890727313024529</v>
      </c>
      <c r="I10" s="158">
        <f t="shared" si="31"/>
        <v>0.84696392077944638</v>
      </c>
      <c r="J10" s="158">
        <f t="shared" si="31"/>
        <v>0.49041080856655683</v>
      </c>
      <c r="K10" s="158">
        <f t="shared" si="31"/>
        <v>0.46958624330639082</v>
      </c>
      <c r="L10" s="22"/>
      <c r="M10" s="308"/>
      <c r="N10" s="440" t="s">
        <v>250</v>
      </c>
      <c r="O10" s="440">
        <f>E10-Y10</f>
        <v>0.15157968559696011</v>
      </c>
      <c r="P10" s="440">
        <f t="shared" ref="P10" si="32">F10-Z10</f>
        <v>0.22832530401657092</v>
      </c>
      <c r="Q10" s="440">
        <f t="shared" ref="Q10" si="33">G10-AA10</f>
        <v>0.22832530401657092</v>
      </c>
      <c r="R10" s="440">
        <f t="shared" ref="R10" si="34">H10-AB10</f>
        <v>0.20044573466870685</v>
      </c>
      <c r="S10" s="440">
        <f t="shared" ref="S10" si="35">I10-AC10</f>
        <v>0.25966233347785905</v>
      </c>
      <c r="T10" s="440">
        <f t="shared" ref="T10" si="36">J10-AD10</f>
        <v>8.1960104341204709E-2</v>
      </c>
      <c r="U10" s="440">
        <f t="shared" ref="U10" si="37">K10-AE10</f>
        <v>6.1135539081038692E-2</v>
      </c>
      <c r="V10" s="15"/>
      <c r="W10" s="311"/>
      <c r="X10" s="440" t="s">
        <v>250</v>
      </c>
      <c r="Y10" s="158">
        <f t="shared" ref="Y10:AE10" si="38">Y9/(1-Y9)</f>
        <v>0.53846153846153844</v>
      </c>
      <c r="Z10" s="158">
        <f t="shared" si="38"/>
        <v>0.63934426229508201</v>
      </c>
      <c r="AA10" s="158">
        <f t="shared" si="38"/>
        <v>0.63934426229508201</v>
      </c>
      <c r="AB10" s="158">
        <f t="shared" si="38"/>
        <v>0.53846153846153844</v>
      </c>
      <c r="AC10" s="158">
        <f t="shared" si="38"/>
        <v>0.58730158730158732</v>
      </c>
      <c r="AD10" s="158">
        <f t="shared" si="38"/>
        <v>0.40845070422535212</v>
      </c>
      <c r="AE10" s="158">
        <f t="shared" si="38"/>
        <v>0.40845070422535212</v>
      </c>
      <c r="AF10" s="22"/>
      <c r="AG10" s="338"/>
      <c r="AH10" s="338"/>
      <c r="AI10" s="1"/>
      <c r="AJ10" s="195"/>
      <c r="AK10" s="15"/>
      <c r="AL10" s="15"/>
      <c r="AM10" s="15"/>
      <c r="AN10" s="15"/>
      <c r="AO10" s="15"/>
      <c r="AP10" s="338"/>
      <c r="AQ10" s="155"/>
      <c r="AR10" s="158">
        <f>AR9/(1-AR9)</f>
        <v>0.72413793103448265</v>
      </c>
      <c r="AS10" s="158">
        <f>AS9/(1-AS9)</f>
        <v>0.72413793103448265</v>
      </c>
      <c r="AT10" s="158">
        <f>AT9/(1-AT9)</f>
        <v>0.72413793103448265</v>
      </c>
      <c r="AU10" s="158">
        <f>AU9/(1-AU9)</f>
        <v>0.72413793103448265</v>
      </c>
      <c r="AV10" s="158">
        <f>AV9/(1-AV9)</f>
        <v>0.72413793103448265</v>
      </c>
      <c r="AW10" s="15"/>
      <c r="AX10" s="338"/>
    </row>
    <row r="11" spans="1:50">
      <c r="A11" s="144" t="s">
        <v>70</v>
      </c>
      <c r="B11" s="61"/>
      <c r="C11" s="22"/>
      <c r="E11" s="123"/>
      <c r="F11" s="123"/>
      <c r="G11" s="123"/>
      <c r="H11" s="123"/>
      <c r="I11" s="123"/>
      <c r="J11" s="123"/>
      <c r="K11" s="123"/>
      <c r="L11" s="22"/>
      <c r="M11" s="308"/>
      <c r="N11" s="15"/>
      <c r="O11" s="531">
        <f>O10/E10</f>
        <v>0.21966757972145426</v>
      </c>
      <c r="P11" s="532">
        <f t="shared" ref="P11" si="39">P10/F10</f>
        <v>0.26314776140778012</v>
      </c>
      <c r="Q11" s="532">
        <f t="shared" ref="Q11" si="40">Q10/G10</f>
        <v>0.26314776140778012</v>
      </c>
      <c r="R11" s="531">
        <f t="shared" ref="R11" si="41">R10/H10</f>
        <v>0.2712731921280937</v>
      </c>
      <c r="S11" s="532">
        <f t="shared" ref="S11" si="42">S10/I10</f>
        <v>0.30658015897406382</v>
      </c>
      <c r="T11" s="531">
        <f t="shared" ref="T11" si="43">T10/J10</f>
        <v>0.16712540366059525</v>
      </c>
      <c r="U11" s="532">
        <f t="shared" ref="U11" si="44">U10/K10</f>
        <v>0.13019022586900955</v>
      </c>
      <c r="V11" s="15"/>
      <c r="X11" s="15"/>
      <c r="Y11" s="123"/>
      <c r="Z11" s="123"/>
      <c r="AA11" s="123"/>
      <c r="AB11" s="123"/>
      <c r="AC11" s="123"/>
      <c r="AD11" s="123"/>
      <c r="AE11" s="123"/>
      <c r="AF11" s="22"/>
      <c r="AG11" s="338"/>
      <c r="AH11" s="338"/>
      <c r="AI11"/>
      <c r="AJ11" s="195"/>
      <c r="AK11" s="15"/>
      <c r="AL11" s="15"/>
      <c r="AM11" s="15"/>
      <c r="AN11" s="15"/>
      <c r="AO11" s="15"/>
      <c r="AP11" s="338"/>
      <c r="AQ11" s="155"/>
      <c r="AR11" s="15"/>
      <c r="AS11" s="15"/>
      <c r="AT11" s="15"/>
      <c r="AU11" s="15"/>
      <c r="AV11" s="15"/>
      <c r="AW11" s="15"/>
      <c r="AX11" s="338"/>
    </row>
    <row r="12" spans="1:50">
      <c r="A12" s="144"/>
      <c r="B12" s="625" t="s">
        <v>39</v>
      </c>
      <c r="C12" s="626"/>
      <c r="E12" s="191" t="str">
        <f>E55</f>
        <v>BBB+</v>
      </c>
      <c r="F12" s="190" t="str">
        <f t="shared" ref="F12:K12" si="45">F55</f>
        <v>BBB+</v>
      </c>
      <c r="G12" s="190" t="str">
        <f t="shared" si="45"/>
        <v>BBB-</v>
      </c>
      <c r="H12" s="191" t="str">
        <f t="shared" si="45"/>
        <v>BBB-</v>
      </c>
      <c r="I12" s="190" t="str">
        <f t="shared" si="45"/>
        <v>BBB-</v>
      </c>
      <c r="J12" s="191" t="str">
        <f t="shared" si="45"/>
        <v>BBB</v>
      </c>
      <c r="K12" s="190" t="str">
        <f t="shared" si="45"/>
        <v>BB+</v>
      </c>
      <c r="L12" s="13"/>
      <c r="M12" s="308"/>
      <c r="N12" s="25" t="s">
        <v>58</v>
      </c>
      <c r="O12" s="489" t="str">
        <f>CONCATENATE(O16," notch")</f>
        <v>0 notch</v>
      </c>
      <c r="P12" s="490" t="str">
        <f t="shared" ref="P12:U12" si="46">CONCATENATE(P16," notch")</f>
        <v>0 notch</v>
      </c>
      <c r="Q12" s="490" t="str">
        <f t="shared" si="46"/>
        <v>0 notch</v>
      </c>
      <c r="R12" s="489" t="str">
        <f t="shared" si="46"/>
        <v>0 notch</v>
      </c>
      <c r="S12" s="490" t="str">
        <f t="shared" si="46"/>
        <v>-1 notch</v>
      </c>
      <c r="T12" s="489" t="str">
        <f t="shared" si="46"/>
        <v>0 notch</v>
      </c>
      <c r="U12" s="490" t="str">
        <f t="shared" si="46"/>
        <v>0 notch</v>
      </c>
      <c r="V12" s="22"/>
      <c r="X12" s="25" t="s">
        <v>58</v>
      </c>
      <c r="Y12" s="191" t="s">
        <v>29</v>
      </c>
      <c r="Z12" s="190" t="str">
        <f>Z55</f>
        <v>BBB+</v>
      </c>
      <c r="AA12" s="190" t="str">
        <f>AA55</f>
        <v>BBB-</v>
      </c>
      <c r="AB12" s="191" t="str">
        <f>AB55</f>
        <v>BBB-</v>
      </c>
      <c r="AC12" s="190" t="s">
        <v>28</v>
      </c>
      <c r="AD12" s="191" t="str">
        <f>AD55</f>
        <v>BBB</v>
      </c>
      <c r="AE12" s="190" t="str">
        <f>AE55</f>
        <v>BB+</v>
      </c>
      <c r="AF12" s="13"/>
      <c r="AI12"/>
      <c r="AJ12" s="22" t="str">
        <f>CONCATENATE(-(E16-AR16)," notch")</f>
        <v>-1 notch</v>
      </c>
      <c r="AK12" s="57" t="str">
        <f>CONCATENATE(-(F16-AS16)," notch")</f>
        <v>1 notch</v>
      </c>
      <c r="AL12" s="25" t="str">
        <f>CONCATENATE(-(H16-AT16)," notch")</f>
        <v>2,5 notch</v>
      </c>
      <c r="AM12" s="22" t="str">
        <f>CONCATENATE(-(J16-AU16)," notch")</f>
        <v>1 notch</v>
      </c>
      <c r="AN12" s="57" t="str">
        <f>CONCATENATE(-(K16-AV16)," notch")</f>
        <v>-1 notch</v>
      </c>
      <c r="AO12" s="22"/>
      <c r="AQ12" s="155"/>
      <c r="AR12" s="24" t="s">
        <v>30</v>
      </c>
      <c r="AS12" s="9" t="s">
        <v>28</v>
      </c>
      <c r="AT12" s="24" t="s">
        <v>93</v>
      </c>
      <c r="AU12" s="24" t="s">
        <v>41</v>
      </c>
      <c r="AV12" s="9" t="s">
        <v>41</v>
      </c>
      <c r="AW12" s="22"/>
    </row>
    <row r="13" spans="1:50">
      <c r="A13" s="144"/>
      <c r="B13" s="633" t="s">
        <v>32</v>
      </c>
      <c r="C13" s="634"/>
      <c r="E13" s="492">
        <f>$F$13</f>
        <v>1.5E-3</v>
      </c>
      <c r="F13" s="520">
        <f>'To Ms Word A'!$K$1</f>
        <v>1.5E-3</v>
      </c>
      <c r="G13" s="492">
        <f>$F$13</f>
        <v>1.5E-3</v>
      </c>
      <c r="H13" s="492">
        <f t="shared" ref="H13:K13" si="47">$F$13</f>
        <v>1.5E-3</v>
      </c>
      <c r="I13" s="492">
        <f t="shared" si="47"/>
        <v>1.5E-3</v>
      </c>
      <c r="J13" s="492">
        <f t="shared" si="47"/>
        <v>1.5E-3</v>
      </c>
      <c r="K13" s="492">
        <f t="shared" si="47"/>
        <v>1.5E-3</v>
      </c>
      <c r="L13" s="13"/>
      <c r="M13" s="308"/>
      <c r="N13" s="155" t="s">
        <v>32</v>
      </c>
      <c r="O13" s="306">
        <f>E13-Y13</f>
        <v>1.5E-3</v>
      </c>
      <c r="P13" s="5">
        <f t="shared" ref="P13:P14" si="48">F13-Z13</f>
        <v>1.5E-3</v>
      </c>
      <c r="Q13" s="306">
        <f>G13-AA13</f>
        <v>1.5E-3</v>
      </c>
      <c r="R13" s="306">
        <f t="shared" ref="R13:R14" si="49">H13-AB13</f>
        <v>1.5E-3</v>
      </c>
      <c r="S13" s="306">
        <f t="shared" ref="S13:S14" si="50">I13-AC13</f>
        <v>1.5E-3</v>
      </c>
      <c r="T13" s="306">
        <f t="shared" ref="T13:T14" si="51">J13-AD13</f>
        <v>1.5E-3</v>
      </c>
      <c r="U13" s="306">
        <f t="shared" ref="U13:U14" si="52">K13-AE13</f>
        <v>1.5E-3</v>
      </c>
      <c r="V13" s="22"/>
      <c r="X13" s="155" t="s">
        <v>32</v>
      </c>
      <c r="Y13" s="492">
        <f>$Z$13</f>
        <v>0</v>
      </c>
      <c r="Z13" s="520">
        <v>0</v>
      </c>
      <c r="AA13" s="492">
        <f>$Z$13</f>
        <v>0</v>
      </c>
      <c r="AB13" s="492">
        <f>$Z$13</f>
        <v>0</v>
      </c>
      <c r="AC13" s="492">
        <f t="shared" ref="AC13:AE13" si="53">$Z$13</f>
        <v>0</v>
      </c>
      <c r="AD13" s="492">
        <f t="shared" si="53"/>
        <v>0</v>
      </c>
      <c r="AE13" s="492">
        <f t="shared" si="53"/>
        <v>0</v>
      </c>
      <c r="AF13" s="13"/>
      <c r="AI13"/>
      <c r="AJ13" s="303">
        <f t="shared" ref="AJ13:AK15" si="54">E13-AR13</f>
        <v>0</v>
      </c>
      <c r="AK13" s="304">
        <f t="shared" si="54"/>
        <v>0</v>
      </c>
      <c r="AL13" s="303">
        <f>H13-AT13</f>
        <v>0</v>
      </c>
      <c r="AM13" s="303">
        <f t="shared" ref="AM13:AN15" si="55">J13-AU13</f>
        <v>0</v>
      </c>
      <c r="AN13" s="303">
        <f t="shared" si="55"/>
        <v>0</v>
      </c>
      <c r="AO13" s="22"/>
      <c r="AQ13" s="155"/>
      <c r="AR13" s="301">
        <f>$AS13</f>
        <v>1.5E-3</v>
      </c>
      <c r="AS13" s="156">
        <v>1.5E-3</v>
      </c>
      <c r="AT13" s="302">
        <f>$AS13</f>
        <v>1.5E-3</v>
      </c>
      <c r="AU13" s="301">
        <f>$AS13</f>
        <v>1.5E-3</v>
      </c>
      <c r="AV13" s="301">
        <f>$AS13</f>
        <v>1.5E-3</v>
      </c>
      <c r="AW13" s="22"/>
    </row>
    <row r="14" spans="1:50" s="378" customFormat="1">
      <c r="A14" s="144" t="s">
        <v>26</v>
      </c>
      <c r="B14" s="31" t="s">
        <v>94</v>
      </c>
      <c r="C14" s="27"/>
      <c r="D14" s="313"/>
      <c r="E14" s="437">
        <f>INDEX($E$42:$E$52,E16,1)/100+E13</f>
        <v>2.2542079038852157E-2</v>
      </c>
      <c r="F14" s="459">
        <f t="shared" ref="F14:K14" si="56">INDEX($E$42:$E$52,F16,1)/100+F13</f>
        <v>2.2542079038852157E-2</v>
      </c>
      <c r="G14" s="459">
        <f t="shared" si="56"/>
        <v>2.8095582223565528E-2</v>
      </c>
      <c r="H14" s="460">
        <f t="shared" si="56"/>
        <v>2.8095582223565528E-2</v>
      </c>
      <c r="I14" s="459">
        <f t="shared" si="56"/>
        <v>2.8095582223565528E-2</v>
      </c>
      <c r="J14" s="460">
        <f t="shared" si="56"/>
        <v>2.5318830631208843E-2</v>
      </c>
      <c r="K14" s="459">
        <f t="shared" si="56"/>
        <v>3.1349149102546429E-2</v>
      </c>
      <c r="L14" s="106"/>
      <c r="M14" s="308"/>
      <c r="N14" s="193" t="s">
        <v>59</v>
      </c>
      <c r="O14" s="8">
        <f>E14-Y14</f>
        <v>-1.1311980312115333E-3</v>
      </c>
      <c r="P14" s="476">
        <f t="shared" si="48"/>
        <v>-1.1311980312115333E-3</v>
      </c>
      <c r="Q14" s="476">
        <f t="shared" ref="Q14" si="57">G14-AA14</f>
        <v>-1.9722808337593323E-3</v>
      </c>
      <c r="R14" s="477">
        <f t="shared" si="49"/>
        <v>-1.9722808337593323E-3</v>
      </c>
      <c r="S14" s="476">
        <f t="shared" si="50"/>
        <v>1.2250121598712388E-3</v>
      </c>
      <c r="T14" s="477">
        <f t="shared" si="51"/>
        <v>-1.5517394324854467E-3</v>
      </c>
      <c r="U14" s="476">
        <f t="shared" si="52"/>
        <v>-2.422981470701982E-3</v>
      </c>
      <c r="V14" s="5"/>
      <c r="W14" s="313"/>
      <c r="X14" s="193" t="s">
        <v>59</v>
      </c>
      <c r="Y14" s="438">
        <f>INDEX($Y$42:$Y$52,Y16,1)/100+Y13</f>
        <v>2.367327707006369E-2</v>
      </c>
      <c r="Z14" s="459">
        <f t="shared" ref="Z14:AE14" si="58">INDEX($Y$42:$Y$52,Z16,1)/100+Z13</f>
        <v>2.367327707006369E-2</v>
      </c>
      <c r="AA14" s="459">
        <f t="shared" si="58"/>
        <v>3.006786305732486E-2</v>
      </c>
      <c r="AB14" s="460">
        <f t="shared" si="58"/>
        <v>3.006786305732486E-2</v>
      </c>
      <c r="AC14" s="459">
        <f t="shared" si="58"/>
        <v>2.6870570063694289E-2</v>
      </c>
      <c r="AD14" s="460">
        <f t="shared" si="58"/>
        <v>2.6870570063694289E-2</v>
      </c>
      <c r="AE14" s="459">
        <f t="shared" si="58"/>
        <v>3.3772130573248411E-2</v>
      </c>
      <c r="AF14" s="106"/>
      <c r="AG14" s="336"/>
      <c r="AH14" s="336"/>
      <c r="AI14" s="13"/>
      <c r="AJ14" s="8">
        <f t="shared" si="54"/>
        <v>-1.7642987108411924E-2</v>
      </c>
      <c r="AK14" s="212">
        <f t="shared" si="54"/>
        <v>-2.190880876446287E-2</v>
      </c>
      <c r="AL14" s="204">
        <f>H14-AT14</f>
        <v>-5.1748417681660323E-2</v>
      </c>
      <c r="AM14" s="8">
        <f t="shared" si="55"/>
        <v>-2.5455859719876892E-2</v>
      </c>
      <c r="AN14" s="212">
        <f t="shared" si="55"/>
        <v>-1.9425541248539305E-2</v>
      </c>
      <c r="AO14" s="5"/>
      <c r="AP14" s="336"/>
      <c r="AQ14" s="155"/>
      <c r="AR14" s="438">
        <v>4.0185066147264081E-2</v>
      </c>
      <c r="AS14" s="438">
        <v>4.4450887803315027E-2</v>
      </c>
      <c r="AT14" s="438">
        <v>7.9843999905225851E-2</v>
      </c>
      <c r="AU14" s="438">
        <v>5.0774690351085734E-2</v>
      </c>
      <c r="AV14" s="438">
        <v>5.0774690351085734E-2</v>
      </c>
      <c r="AW14" s="5"/>
      <c r="AX14" s="336"/>
    </row>
    <row r="15" spans="1:50">
      <c r="A15" s="61" t="s">
        <v>12</v>
      </c>
      <c r="B15" s="637" t="s">
        <v>271</v>
      </c>
      <c r="C15" s="638"/>
      <c r="D15" s="311"/>
      <c r="E15" s="461">
        <f t="shared" ref="E15:K15" si="59">E14-E13-E3</f>
        <v>1.2832484076433118E-2</v>
      </c>
      <c r="F15" s="461">
        <f t="shared" si="59"/>
        <v>1.2832484076433118E-2</v>
      </c>
      <c r="G15" s="461">
        <f t="shared" si="59"/>
        <v>1.8385987261146489E-2</v>
      </c>
      <c r="H15" s="461">
        <f t="shared" si="59"/>
        <v>1.8385987261146489E-2</v>
      </c>
      <c r="I15" s="461">
        <f t="shared" si="59"/>
        <v>1.8385987261146489E-2</v>
      </c>
      <c r="J15" s="461">
        <f t="shared" si="59"/>
        <v>1.5609235668789804E-2</v>
      </c>
      <c r="K15" s="461">
        <f t="shared" si="59"/>
        <v>2.1639554140127391E-2</v>
      </c>
      <c r="L15" s="22"/>
      <c r="M15" s="308"/>
      <c r="N15" s="22" t="s">
        <v>252</v>
      </c>
      <c r="O15" s="477">
        <f>E15-Y15</f>
        <v>-7.2292993630573496E-5</v>
      </c>
      <c r="P15" s="477">
        <f t="shared" ref="P15" si="60">F15-Z15</f>
        <v>-7.2292993630573496E-5</v>
      </c>
      <c r="Q15" s="477">
        <f t="shared" ref="Q15" si="61">G15-AA15</f>
        <v>-9.1337579617837075E-4</v>
      </c>
      <c r="R15" s="477">
        <f t="shared" ref="R15" si="62">H15-AB15</f>
        <v>-9.1337579617837075E-4</v>
      </c>
      <c r="S15" s="477">
        <f t="shared" ref="S15" si="63">I15-AC15</f>
        <v>2.2839171974522003E-3</v>
      </c>
      <c r="T15" s="477">
        <f t="shared" ref="T15" si="64">J15-AD15</f>
        <v>-4.9283439490448513E-4</v>
      </c>
      <c r="U15" s="477">
        <f t="shared" ref="U15" si="65">K15-AE15</f>
        <v>-1.3640764331210205E-3</v>
      </c>
      <c r="V15" s="193"/>
      <c r="W15" s="311"/>
      <c r="X15" s="22" t="s">
        <v>252</v>
      </c>
      <c r="Y15" s="461">
        <f t="shared" ref="Y15:AE15" si="66">Y14-Y13-Y3</f>
        <v>1.2904777070063692E-2</v>
      </c>
      <c r="Z15" s="461">
        <f t="shared" si="66"/>
        <v>1.2904777070063692E-2</v>
      </c>
      <c r="AA15" s="461">
        <f t="shared" si="66"/>
        <v>1.929936305732486E-2</v>
      </c>
      <c r="AB15" s="461">
        <f t="shared" si="66"/>
        <v>1.929936305732486E-2</v>
      </c>
      <c r="AC15" s="461">
        <f t="shared" si="66"/>
        <v>1.6102070063694289E-2</v>
      </c>
      <c r="AD15" s="461">
        <f t="shared" si="66"/>
        <v>1.6102070063694289E-2</v>
      </c>
      <c r="AE15" s="461">
        <f t="shared" si="66"/>
        <v>2.3003630573248411E-2</v>
      </c>
      <c r="AF15" s="22"/>
      <c r="AI15"/>
      <c r="AJ15" s="8">
        <f t="shared" si="54"/>
        <v>4.505732484076444E-4</v>
      </c>
      <c r="AK15" s="8">
        <f t="shared" si="54"/>
        <v>-3.8152484076433013E-3</v>
      </c>
      <c r="AL15" s="8">
        <f>H15-AT15</f>
        <v>-3.3654857324840762E-2</v>
      </c>
      <c r="AM15" s="8">
        <f t="shared" si="55"/>
        <v>-7.362299363057323E-3</v>
      </c>
      <c r="AN15" s="8">
        <f t="shared" si="55"/>
        <v>-1.3319808917197362E-3</v>
      </c>
      <c r="AO15" s="193"/>
      <c r="AQ15" s="155"/>
      <c r="AR15" s="461">
        <f>AR14-AR13-AR3</f>
        <v>1.2381910828025474E-2</v>
      </c>
      <c r="AS15" s="461">
        <f>AS14-AS13-AS3</f>
        <v>1.664773248407642E-2</v>
      </c>
      <c r="AT15" s="461">
        <f>AT14-AT13-AT3</f>
        <v>5.2040844585987248E-2</v>
      </c>
      <c r="AU15" s="461">
        <f>AU14-AU13-AU3</f>
        <v>2.2971535031847127E-2</v>
      </c>
      <c r="AV15" s="461">
        <f>AV14-AV13-AV3</f>
        <v>2.2971535031847127E-2</v>
      </c>
      <c r="AW15" s="193"/>
    </row>
    <row r="16" spans="1:50" s="376" customFormat="1" ht="12.75" customHeight="1">
      <c r="A16" s="61" t="s">
        <v>31</v>
      </c>
      <c r="B16" s="635" t="s">
        <v>71</v>
      </c>
      <c r="C16" s="636"/>
      <c r="D16" s="312"/>
      <c r="E16" s="192">
        <f t="shared" ref="E16:K16" si="67">VLOOKUP(E12,$C$42:$D$52,2,FALSE)</f>
        <v>3</v>
      </c>
      <c r="F16" s="192">
        <f t="shared" si="67"/>
        <v>3</v>
      </c>
      <c r="G16" s="192">
        <f t="shared" si="67"/>
        <v>5</v>
      </c>
      <c r="H16" s="192">
        <f t="shared" si="67"/>
        <v>5</v>
      </c>
      <c r="I16" s="192">
        <f t="shared" si="67"/>
        <v>5</v>
      </c>
      <c r="J16" s="192">
        <f t="shared" si="67"/>
        <v>4</v>
      </c>
      <c r="K16" s="192">
        <f t="shared" si="67"/>
        <v>6</v>
      </c>
      <c r="L16" s="13"/>
      <c r="M16" s="308"/>
      <c r="N16" s="102"/>
      <c r="O16" s="192">
        <f>-(E16-Y16)</f>
        <v>0</v>
      </c>
      <c r="P16" s="192">
        <f t="shared" ref="P16:U16" si="68">-(F16-Z16)</f>
        <v>0</v>
      </c>
      <c r="Q16" s="192">
        <f t="shared" si="68"/>
        <v>0</v>
      </c>
      <c r="R16" s="192">
        <f t="shared" si="68"/>
        <v>0</v>
      </c>
      <c r="S16" s="192">
        <f t="shared" si="68"/>
        <v>-1</v>
      </c>
      <c r="T16" s="192">
        <f t="shared" si="68"/>
        <v>0</v>
      </c>
      <c r="U16" s="192">
        <f t="shared" si="68"/>
        <v>0</v>
      </c>
      <c r="V16" s="194"/>
      <c r="W16" s="312"/>
      <c r="X16" s="102"/>
      <c r="Y16" s="192">
        <f t="shared" ref="Y16:AE16" si="69">VLOOKUP(Y12,$C$42:$D$52,2,FALSE)</f>
        <v>3</v>
      </c>
      <c r="Z16" s="192">
        <f t="shared" si="69"/>
        <v>3</v>
      </c>
      <c r="AA16" s="192">
        <f t="shared" si="69"/>
        <v>5</v>
      </c>
      <c r="AB16" s="192">
        <f t="shared" si="69"/>
        <v>5</v>
      </c>
      <c r="AC16" s="192">
        <f t="shared" si="69"/>
        <v>4</v>
      </c>
      <c r="AD16" s="192">
        <f t="shared" si="69"/>
        <v>4</v>
      </c>
      <c r="AE16" s="192">
        <f t="shared" si="69"/>
        <v>6</v>
      </c>
      <c r="AF16" s="13"/>
      <c r="AG16" s="339"/>
      <c r="AH16" s="339"/>
      <c r="AI16" s="1"/>
      <c r="AJ16" s="196"/>
      <c r="AK16" s="102"/>
      <c r="AL16" s="102"/>
      <c r="AM16" s="102"/>
      <c r="AN16" s="102"/>
      <c r="AO16" s="194"/>
      <c r="AP16" s="339"/>
      <c r="AQ16" s="169"/>
      <c r="AR16" s="192">
        <f>VLOOKUP(AR12,$C$42:$D$52,2,FALSE)</f>
        <v>2</v>
      </c>
      <c r="AS16" s="192">
        <f>VLOOKUP(AS12,$C$42:$D$52,2,FALSE)</f>
        <v>4</v>
      </c>
      <c r="AT16" s="215">
        <v>7.5</v>
      </c>
      <c r="AU16" s="192">
        <f>VLOOKUP(AU12,$C$42:$D$52,2,FALSE)</f>
        <v>5</v>
      </c>
      <c r="AV16" s="192">
        <f>VLOOKUP(AV12,$C$42:$D$52,2,FALSE)</f>
        <v>5</v>
      </c>
      <c r="AW16" s="194"/>
      <c r="AX16" s="339"/>
    </row>
    <row r="17" spans="1:50" s="379" customFormat="1">
      <c r="A17" s="105" t="s">
        <v>14</v>
      </c>
      <c r="B17" s="641"/>
      <c r="C17" s="642"/>
      <c r="D17" s="314"/>
      <c r="E17" s="124"/>
      <c r="F17" s="124"/>
      <c r="G17" s="124"/>
      <c r="H17" s="124"/>
      <c r="I17" s="124"/>
      <c r="J17" s="124"/>
      <c r="K17" s="124"/>
      <c r="L17" s="13"/>
      <c r="M17" s="308"/>
      <c r="N17" s="102"/>
      <c r="O17" s="102"/>
      <c r="P17" s="102"/>
      <c r="Q17" s="102"/>
      <c r="R17" s="102"/>
      <c r="S17" s="102"/>
      <c r="T17" s="102"/>
      <c r="U17" s="102"/>
      <c r="V17" s="102"/>
      <c r="W17" s="314"/>
      <c r="X17" s="102"/>
      <c r="Y17" s="124"/>
      <c r="Z17" s="124"/>
      <c r="AA17" s="124"/>
      <c r="AB17" s="124"/>
      <c r="AC17" s="124"/>
      <c r="AD17" s="124"/>
      <c r="AE17" s="124"/>
      <c r="AF17" s="13"/>
      <c r="AG17" s="339"/>
      <c r="AH17" s="339"/>
      <c r="AI17" s="106"/>
      <c r="AJ17" s="196"/>
      <c r="AK17" s="52"/>
      <c r="AL17" s="52"/>
      <c r="AM17" s="52"/>
      <c r="AN17" s="102"/>
      <c r="AO17" s="102"/>
      <c r="AP17" s="339"/>
      <c r="AQ17" s="484" t="s">
        <v>259</v>
      </c>
      <c r="AR17" s="100"/>
      <c r="AS17" s="100"/>
      <c r="AT17" s="296">
        <v>0.15</v>
      </c>
      <c r="AU17" s="100"/>
      <c r="AV17" s="100"/>
      <c r="AW17" s="102"/>
      <c r="AX17" s="339"/>
    </row>
    <row r="18" spans="1:50" s="378" customFormat="1">
      <c r="A18" s="146"/>
      <c r="B18" s="142" t="s">
        <v>33</v>
      </c>
      <c r="C18" s="101" t="s">
        <v>9</v>
      </c>
      <c r="D18" s="310"/>
      <c r="E18" s="125">
        <f t="shared" ref="E18:K18" si="70">E57</f>
        <v>0.75</v>
      </c>
      <c r="F18" s="17">
        <f t="shared" si="70"/>
        <v>0.71337755526539992</v>
      </c>
      <c r="G18" s="17">
        <f t="shared" si="70"/>
        <v>0.9</v>
      </c>
      <c r="H18" s="125">
        <f t="shared" si="70"/>
        <v>0.75</v>
      </c>
      <c r="I18" s="17">
        <f t="shared" si="70"/>
        <v>0.73239920686046522</v>
      </c>
      <c r="J18" s="125">
        <f t="shared" si="70"/>
        <v>0.8</v>
      </c>
      <c r="K18" s="17">
        <f t="shared" si="70"/>
        <v>0.80580412111106092</v>
      </c>
      <c r="L18" s="22"/>
      <c r="M18" s="308"/>
      <c r="N18" s="25" t="s">
        <v>9</v>
      </c>
      <c r="O18" s="23">
        <f>E18-Y18</f>
        <v>0</v>
      </c>
      <c r="P18" s="478">
        <f t="shared" ref="P18" si="71">F18-Z18</f>
        <v>-3.6622444734600079E-2</v>
      </c>
      <c r="Q18" s="478">
        <f t="shared" ref="Q18" si="72">G18-AA18</f>
        <v>0</v>
      </c>
      <c r="R18" s="23">
        <f t="shared" ref="R18" si="73">H18-AB18</f>
        <v>0</v>
      </c>
      <c r="S18" s="478">
        <f t="shared" ref="S18" si="74">I18-AC18</f>
        <v>-1.7600793139534776E-2</v>
      </c>
      <c r="T18" s="23">
        <f t="shared" ref="T18" si="75">J18-AD18</f>
        <v>5.0000000000000044E-2</v>
      </c>
      <c r="U18" s="478">
        <f t="shared" ref="U18" si="76">K18-AE18</f>
        <v>5.5804121111060923E-2</v>
      </c>
      <c r="V18" s="22"/>
      <c r="W18" s="310"/>
      <c r="X18" s="25" t="s">
        <v>9</v>
      </c>
      <c r="Y18" s="125">
        <f t="shared" ref="Y18:AE18" si="77">Y57</f>
        <v>0.75</v>
      </c>
      <c r="Z18" s="17">
        <f t="shared" si="77"/>
        <v>0.75</v>
      </c>
      <c r="AA18" s="17">
        <f t="shared" si="77"/>
        <v>0.9</v>
      </c>
      <c r="AB18" s="125">
        <f t="shared" si="77"/>
        <v>0.75</v>
      </c>
      <c r="AC18" s="17">
        <f t="shared" si="77"/>
        <v>0.75</v>
      </c>
      <c r="AD18" s="125">
        <f t="shared" si="77"/>
        <v>0.75</v>
      </c>
      <c r="AE18" s="17">
        <f t="shared" si="77"/>
        <v>0.75</v>
      </c>
      <c r="AF18" s="22"/>
      <c r="AG18" s="340"/>
      <c r="AH18" s="340"/>
      <c r="AI18" s="13"/>
      <c r="AJ18" s="197">
        <f t="shared" ref="AJ18:AK22" si="78">E18-AR18</f>
        <v>0.25</v>
      </c>
      <c r="AK18" s="216">
        <f t="shared" si="78"/>
        <v>0.11337755526539994</v>
      </c>
      <c r="AL18" s="217">
        <f>H18-AT18</f>
        <v>0.15000000000000002</v>
      </c>
      <c r="AM18" s="197">
        <f t="shared" ref="AM18:AN22" si="79">J18-AU18</f>
        <v>0.20000000000000007</v>
      </c>
      <c r="AN18" s="216">
        <f t="shared" si="79"/>
        <v>0.20580412111106094</v>
      </c>
      <c r="AO18" s="22"/>
      <c r="AP18" s="340"/>
      <c r="AQ18" s="430"/>
      <c r="AR18" s="125">
        <v>0.5</v>
      </c>
      <c r="AS18" s="17">
        <v>0.6</v>
      </c>
      <c r="AT18" s="125">
        <v>0.6</v>
      </c>
      <c r="AU18" s="125">
        <v>0.6</v>
      </c>
      <c r="AV18" s="17">
        <v>0.6</v>
      </c>
      <c r="AW18" s="22"/>
      <c r="AX18" s="340"/>
    </row>
    <row r="19" spans="1:50" s="378" customFormat="1">
      <c r="A19" s="146"/>
      <c r="B19" s="126" t="s">
        <v>85</v>
      </c>
      <c r="C19" s="11"/>
      <c r="D19" s="315"/>
      <c r="E19" s="162">
        <f t="shared" ref="E19:K19" si="80">E20*E9+E22*(1-E9)</f>
        <v>0.67636473819730303</v>
      </c>
      <c r="F19" s="162">
        <f t="shared" si="80"/>
        <v>0.63462598480292776</v>
      </c>
      <c r="G19" s="162">
        <f t="shared" si="80"/>
        <v>0.80229056353327544</v>
      </c>
      <c r="H19" s="162">
        <f t="shared" si="80"/>
        <v>0.67948316396624175</v>
      </c>
      <c r="I19" s="162">
        <f t="shared" si="80"/>
        <v>0.65868647107883593</v>
      </c>
      <c r="J19" s="162">
        <f t="shared" si="80"/>
        <v>0.738283532148726</v>
      </c>
      <c r="K19" s="162">
        <f t="shared" si="80"/>
        <v>0.74832083320604748</v>
      </c>
      <c r="L19" s="22"/>
      <c r="M19" s="308"/>
      <c r="N19" s="449" t="s">
        <v>253</v>
      </c>
      <c r="O19" s="479">
        <f t="shared" ref="O19:O21" si="81">E19-Y19</f>
        <v>-1.2854263641793096E-2</v>
      </c>
      <c r="P19" s="479">
        <f t="shared" ref="P19:P21" si="82">F19-Z19</f>
        <v>-4.7646617246350775E-2</v>
      </c>
      <c r="Q19" s="479">
        <f t="shared" ref="Q19:Q21" si="83">G19-AA19</f>
        <v>-2.0052415615923525E-2</v>
      </c>
      <c r="R19" s="479">
        <f t="shared" ref="R19:R21" si="84">H19-AB19</f>
        <v>-1.604963783432134E-2</v>
      </c>
      <c r="S19" s="479">
        <f t="shared" ref="S19:S21" si="85">I19-AC19</f>
        <v>-3.0551443531023681E-2</v>
      </c>
      <c r="T19" s="479">
        <f t="shared" ref="T19:T21" si="86">J19-AD19</f>
        <v>3.5907869346403554E-2</v>
      </c>
      <c r="U19" s="479">
        <f t="shared" ref="U19:U21" si="87">K19-AE19</f>
        <v>4.2302686558312597E-2</v>
      </c>
      <c r="V19" s="22"/>
      <c r="W19" s="315"/>
      <c r="X19" s="449" t="s">
        <v>253</v>
      </c>
      <c r="Y19" s="162">
        <f t="shared" ref="Y19:AE19" si="88">Y20*Y9+Y22*(1-Y9)</f>
        <v>0.68921900183909612</v>
      </c>
      <c r="Z19" s="162">
        <f t="shared" si="88"/>
        <v>0.68227260204927853</v>
      </c>
      <c r="AA19" s="162">
        <f t="shared" si="88"/>
        <v>0.82234297914919896</v>
      </c>
      <c r="AB19" s="162">
        <f t="shared" si="88"/>
        <v>0.69553280180056309</v>
      </c>
      <c r="AC19" s="162">
        <f t="shared" si="88"/>
        <v>0.68923791460985961</v>
      </c>
      <c r="AD19" s="162">
        <f t="shared" si="88"/>
        <v>0.70237566280232244</v>
      </c>
      <c r="AE19" s="162">
        <f t="shared" si="88"/>
        <v>0.70601814664773488</v>
      </c>
      <c r="AF19" s="22"/>
      <c r="AG19" s="340"/>
      <c r="AH19" s="340"/>
      <c r="AI19" s="13"/>
      <c r="AJ19" s="208">
        <f t="shared" si="78"/>
        <v>0.22314270097098093</v>
      </c>
      <c r="AK19" s="208">
        <f t="shared" si="78"/>
        <v>8.8658291502915154E-2</v>
      </c>
      <c r="AL19" s="208">
        <f>H19-AT19</f>
        <v>0.1131039590278321</v>
      </c>
      <c r="AM19" s="208">
        <f t="shared" si="79"/>
        <v>0.18135045714186226</v>
      </c>
      <c r="AN19" s="208">
        <f t="shared" si="79"/>
        <v>0.19138775819918374</v>
      </c>
      <c r="AO19" s="22"/>
      <c r="AP19" s="340"/>
      <c r="AQ19" s="22"/>
      <c r="AR19" s="162">
        <f t="shared" ref="AR19:AV19" si="89">AR20*AR9+AR22*(1-AR9)</f>
        <v>0.45322203722632209</v>
      </c>
      <c r="AS19" s="162">
        <f t="shared" si="89"/>
        <v>0.5459676933000126</v>
      </c>
      <c r="AT19" s="162">
        <f t="shared" si="89"/>
        <v>0.56637920493840965</v>
      </c>
      <c r="AU19" s="162">
        <f t="shared" si="89"/>
        <v>0.55693307500686373</v>
      </c>
      <c r="AV19" s="162">
        <f t="shared" si="89"/>
        <v>0.55693307500686373</v>
      </c>
      <c r="AW19" s="22"/>
      <c r="AX19" s="340"/>
    </row>
    <row r="20" spans="1:50">
      <c r="A20" s="144" t="s">
        <v>4</v>
      </c>
      <c r="B20" s="143" t="s">
        <v>69</v>
      </c>
      <c r="C20" s="18"/>
      <c r="E20" s="163">
        <f t="shared" ref="E20:K20" si="90">(E15*100*INDEX($G$42:$G$52,E16,1)-INDEX($H$42:$H$52,E16,1))/E5/100</f>
        <v>0.14030879966998169</v>
      </c>
      <c r="F20" s="163">
        <f t="shared" si="90"/>
        <v>0.14030879966998169</v>
      </c>
      <c r="G20" s="163">
        <f t="shared" si="90"/>
        <v>0.18897639961861196</v>
      </c>
      <c r="H20" s="163">
        <f t="shared" si="90"/>
        <v>0.18897639961861196</v>
      </c>
      <c r="I20" s="163">
        <f t="shared" si="90"/>
        <v>0.18897639961861196</v>
      </c>
      <c r="J20" s="163">
        <f t="shared" si="90"/>
        <v>0.16591299767145365</v>
      </c>
      <c r="K20" s="163">
        <f t="shared" si="90"/>
        <v>0.1976367116612936</v>
      </c>
      <c r="L20" s="18"/>
      <c r="M20" s="308"/>
      <c r="N20" s="155" t="s">
        <v>69</v>
      </c>
      <c r="O20" s="163">
        <f t="shared" si="81"/>
        <v>-1.0863632242295279E-2</v>
      </c>
      <c r="P20" s="163">
        <f t="shared" si="82"/>
        <v>-1.0863632242295279E-2</v>
      </c>
      <c r="Q20" s="163">
        <f t="shared" si="83"/>
        <v>-2.440095802240469E-2</v>
      </c>
      <c r="R20" s="163">
        <f t="shared" si="84"/>
        <v>-2.440095802240469E-2</v>
      </c>
      <c r="S20" s="163">
        <f t="shared" si="85"/>
        <v>5.2586492937319873E-3</v>
      </c>
      <c r="T20" s="163">
        <f t="shared" si="86"/>
        <v>-1.780475265342632E-2</v>
      </c>
      <c r="U20" s="163">
        <f t="shared" si="87"/>
        <v>-2.9392380463972051E-2</v>
      </c>
      <c r="V20" s="18"/>
      <c r="X20" s="155" t="s">
        <v>69</v>
      </c>
      <c r="Y20" s="163">
        <f>(Y15*100*INDEX($AA$42:$AA$52,Y16,1)-INDEX($AB$42:$AB$52,Y16,1))/Y5/100</f>
        <v>0.15117243191227697</v>
      </c>
      <c r="Z20" s="163">
        <f t="shared" ref="Z20:AE20" si="91">(Z15*100*INDEX($AA$42:$AA$52,Z16,1)-INDEX($AB$42:$AB$52,Z16,1))/Z5/100</f>
        <v>0.15117243191227697</v>
      </c>
      <c r="AA20" s="163">
        <f t="shared" si="91"/>
        <v>0.21337735764101665</v>
      </c>
      <c r="AB20" s="163">
        <f t="shared" si="91"/>
        <v>0.21337735764101665</v>
      </c>
      <c r="AC20" s="163">
        <f t="shared" si="91"/>
        <v>0.18371775032487997</v>
      </c>
      <c r="AD20" s="163">
        <f t="shared" si="91"/>
        <v>0.18371775032487997</v>
      </c>
      <c r="AE20" s="163">
        <f t="shared" si="91"/>
        <v>0.22702909212526565</v>
      </c>
      <c r="AF20" s="18"/>
      <c r="AG20" s="341"/>
      <c r="AH20" s="341"/>
      <c r="AI20"/>
      <c r="AJ20" s="207">
        <f t="shared" si="78"/>
        <v>-3.2018055751935726E-2</v>
      </c>
      <c r="AK20" s="207">
        <f t="shared" si="78"/>
        <v>-8.1202382190317779E-2</v>
      </c>
      <c r="AL20" s="207">
        <f>H20-AT20</f>
        <v>-0.17551459169822958</v>
      </c>
      <c r="AM20" s="207">
        <f t="shared" si="79"/>
        <v>-0.13240916295606822</v>
      </c>
      <c r="AN20" s="207">
        <f t="shared" si="79"/>
        <v>-0.10068544896622827</v>
      </c>
      <c r="AO20" s="18"/>
      <c r="AP20" s="341"/>
      <c r="AQ20" s="485"/>
      <c r="AR20" s="163">
        <v>0.17232685542191742</v>
      </c>
      <c r="AS20" s="163">
        <v>0.22151118186029947</v>
      </c>
      <c r="AT20" s="163">
        <v>0.36449099131684154</v>
      </c>
      <c r="AU20" s="163">
        <v>0.29832216062752187</v>
      </c>
      <c r="AV20" s="163">
        <v>0.29832216062752187</v>
      </c>
      <c r="AW20" s="18"/>
      <c r="AX20" s="341"/>
    </row>
    <row r="21" spans="1:50">
      <c r="A21" s="144"/>
      <c r="B21" s="164" t="s">
        <v>73</v>
      </c>
      <c r="C21" s="32"/>
      <c r="D21" s="316"/>
      <c r="E21" s="165">
        <f t="shared" ref="E21:K21" si="92">E20*(1-E7)*E10</f>
        <v>6.8179838303972881E-2</v>
      </c>
      <c r="F21" s="165">
        <f t="shared" si="92"/>
        <v>8.5730487788062443E-2</v>
      </c>
      <c r="G21" s="165">
        <f t="shared" si="92"/>
        <v>0.11546701958709397</v>
      </c>
      <c r="H21" s="165">
        <f t="shared" si="92"/>
        <v>9.8331696641450334E-2</v>
      </c>
      <c r="I21" s="165">
        <f t="shared" si="92"/>
        <v>0.11271157065692834</v>
      </c>
      <c r="J21" s="165">
        <f t="shared" si="92"/>
        <v>5.7297604352658169E-2</v>
      </c>
      <c r="K21" s="165">
        <f t="shared" si="92"/>
        <v>6.535502809798617E-2</v>
      </c>
      <c r="L21" s="32"/>
      <c r="M21" s="308"/>
      <c r="N21" s="450" t="s">
        <v>73</v>
      </c>
      <c r="O21" s="165">
        <f t="shared" si="81"/>
        <v>1.0385454719048538E-2</v>
      </c>
      <c r="P21" s="165">
        <f t="shared" si="82"/>
        <v>1.7108116646243607E-2</v>
      </c>
      <c r="Q21" s="165">
        <f t="shared" si="83"/>
        <v>1.8607691175950514E-2</v>
      </c>
      <c r="R21" s="165">
        <f t="shared" si="84"/>
        <v>1.6755891451000121E-2</v>
      </c>
      <c r="S21" s="165">
        <f t="shared" si="85"/>
        <v>3.6104184926220459E-2</v>
      </c>
      <c r="T21" s="165">
        <f t="shared" si="86"/>
        <v>4.0194567584429797E-3</v>
      </c>
      <c r="U21" s="165">
        <f t="shared" si="87"/>
        <v>-4.8340861834086923E-4</v>
      </c>
      <c r="V21" s="22"/>
      <c r="W21" s="316"/>
      <c r="X21" s="450" t="s">
        <v>73</v>
      </c>
      <c r="Y21" s="165">
        <f t="shared" ref="Y21:AE21" si="93">Y20*(1-Y7)*Y10</f>
        <v>5.7794383584924343E-2</v>
      </c>
      <c r="Z21" s="165">
        <f t="shared" si="93"/>
        <v>6.8622371141818836E-2</v>
      </c>
      <c r="AA21" s="165">
        <f t="shared" si="93"/>
        <v>9.6859328411143461E-2</v>
      </c>
      <c r="AB21" s="165">
        <f t="shared" si="93"/>
        <v>8.1575805190450212E-2</v>
      </c>
      <c r="AC21" s="165">
        <f t="shared" si="93"/>
        <v>7.6607385730707883E-2</v>
      </c>
      <c r="AD21" s="165">
        <f t="shared" si="93"/>
        <v>5.3278147594215189E-2</v>
      </c>
      <c r="AE21" s="165">
        <f t="shared" si="93"/>
        <v>6.583843671632704E-2</v>
      </c>
      <c r="AF21" s="32"/>
      <c r="AG21" s="342"/>
      <c r="AH21" s="342"/>
      <c r="AI21"/>
      <c r="AJ21" s="209">
        <f t="shared" si="78"/>
        <v>-1.4192992818239575E-2</v>
      </c>
      <c r="AK21" s="209">
        <f t="shared" si="78"/>
        <v>-2.0152620972822277E-2</v>
      </c>
      <c r="AL21" s="209">
        <f>H21-AT21</f>
        <v>-7.5896254073487213E-2</v>
      </c>
      <c r="AM21" s="209">
        <f t="shared" si="79"/>
        <v>-8.5301417124402881E-2</v>
      </c>
      <c r="AN21" s="209">
        <f>K21-AV21</f>
        <v>-7.724399337907488E-2</v>
      </c>
      <c r="AO21" s="22"/>
      <c r="AP21" s="342"/>
      <c r="AQ21" s="486"/>
      <c r="AR21" s="165">
        <f>AR20*(1-AR7)*AR10</f>
        <v>8.2372831122212456E-2</v>
      </c>
      <c r="AS21" s="165">
        <f>AS20*(1-AS7)*AS10</f>
        <v>0.10588310876088472</v>
      </c>
      <c r="AT21" s="165">
        <f>AT20*(1-AT7)*AT10</f>
        <v>0.17422795071493755</v>
      </c>
      <c r="AU21" s="165">
        <f>AU20*(1-AU7)*AU10</f>
        <v>0.14259902147706105</v>
      </c>
      <c r="AV21" s="165">
        <f>AV20*(1-AV7)*AV10</f>
        <v>0.14259902147706105</v>
      </c>
      <c r="AW21" s="22"/>
      <c r="AX21" s="342"/>
    </row>
    <row r="22" spans="1:50" s="380" customFormat="1">
      <c r="A22" s="61" t="s">
        <v>68</v>
      </c>
      <c r="B22" s="61" t="s">
        <v>34</v>
      </c>
      <c r="C22" s="18"/>
      <c r="D22" s="310"/>
      <c r="E22" s="23">
        <f t="shared" ref="E22:K22" si="94">E18*(1+(1-E7)*E10)-E21</f>
        <v>1.046265434182523</v>
      </c>
      <c r="F22" s="23">
        <f t="shared" si="94"/>
        <v>1.0635299624476282</v>
      </c>
      <c r="G22" s="23">
        <f t="shared" si="94"/>
        <v>1.3344445981499056</v>
      </c>
      <c r="H22" s="23">
        <f t="shared" si="94"/>
        <v>1.0419221796622886</v>
      </c>
      <c r="I22" s="23">
        <f t="shared" si="94"/>
        <v>1.0565139548323812</v>
      </c>
      <c r="J22" s="23">
        <f t="shared" si="94"/>
        <v>1.0189802287613974</v>
      </c>
      <c r="K22" s="23">
        <f t="shared" si="94"/>
        <v>1.0069145210907284</v>
      </c>
      <c r="L22" s="18"/>
      <c r="M22" s="308"/>
      <c r="N22" s="22" t="s">
        <v>34</v>
      </c>
      <c r="O22" s="23">
        <f t="shared" ref="O22" si="95">E22-Y22</f>
        <v>6.7329048536678204E-2</v>
      </c>
      <c r="P22" s="23">
        <f t="shared" ref="P22" si="96">F22-Z22</f>
        <v>4.1701513917315802E-2</v>
      </c>
      <c r="Q22" s="23">
        <f t="shared" ref="Q22" si="97">G22-AA22</f>
        <v>0.12276294295449164</v>
      </c>
      <c r="R22" s="23">
        <f t="shared" ref="R22" si="98">H22-AB22</f>
        <v>8.6767215621969651E-2</v>
      </c>
      <c r="S22" s="23">
        <f t="shared" ref="S22" si="99">I22-AC22</f>
        <v>7.0383245324993959E-2</v>
      </c>
      <c r="T22" s="23">
        <f t="shared" ref="T22" si="100">J22-AD22</f>
        <v>0.10475837635561258</v>
      </c>
      <c r="U22" s="23">
        <f t="shared" ref="U22" si="101">K22-AE22</f>
        <v>0.10525295780705546</v>
      </c>
      <c r="V22" s="1"/>
      <c r="W22" s="310"/>
      <c r="X22" s="22" t="s">
        <v>34</v>
      </c>
      <c r="Y22" s="23">
        <f t="shared" ref="Y22:AE22" si="102">Y18*(1+(1-Y7)*Y10)-Y21</f>
        <v>0.97893638564584484</v>
      </c>
      <c r="Z22" s="23">
        <f t="shared" si="102"/>
        <v>1.0218284485303124</v>
      </c>
      <c r="AA22" s="23">
        <f t="shared" si="102"/>
        <v>1.2116816551954139</v>
      </c>
      <c r="AB22" s="23">
        <f t="shared" si="102"/>
        <v>0.95515496404031897</v>
      </c>
      <c r="AC22" s="23">
        <f t="shared" si="102"/>
        <v>0.98613070950738724</v>
      </c>
      <c r="AD22" s="23">
        <f t="shared" si="102"/>
        <v>0.9142218524057848</v>
      </c>
      <c r="AE22" s="23">
        <f t="shared" si="102"/>
        <v>0.90166156328367297</v>
      </c>
      <c r="AF22" s="18"/>
      <c r="AG22" s="341"/>
      <c r="AH22" s="341"/>
      <c r="AI22" s="18"/>
      <c r="AJ22" s="197">
        <f t="shared" si="78"/>
        <v>0.38963654116680457</v>
      </c>
      <c r="AK22" s="59">
        <f t="shared" si="78"/>
        <v>0.28261100224299573</v>
      </c>
      <c r="AL22" s="217">
        <f>H22-AT22</f>
        <v>0.32934806141170903</v>
      </c>
      <c r="AM22" s="197">
        <f t="shared" si="79"/>
        <v>0.27477718127294126</v>
      </c>
      <c r="AN22" s="59">
        <f t="shared" si="79"/>
        <v>0.26271147360227232</v>
      </c>
      <c r="AO22" s="1"/>
      <c r="AP22" s="341"/>
      <c r="AQ22" s="22"/>
      <c r="AR22" s="23">
        <f>AR18*(1+(1-AR7)*AR10)-AR21</f>
        <v>0.65662889301571847</v>
      </c>
      <c r="AS22" s="23">
        <f>AS18*(1+(1-AS7)*AS10)-AS21</f>
        <v>0.78091896020463247</v>
      </c>
      <c r="AT22" s="23">
        <f>AT18*(1+(1-AT7)*AT10)-AT21</f>
        <v>0.71257411825057959</v>
      </c>
      <c r="AU22" s="23">
        <f>AU18*(1+(1-AU7)*AU10)-AU21</f>
        <v>0.74420304748845612</v>
      </c>
      <c r="AV22" s="23">
        <f>AV18*(1+(1-AV7)*AV10)-AV21</f>
        <v>0.74420304748845612</v>
      </c>
      <c r="AW22" s="1"/>
      <c r="AX22" s="341"/>
    </row>
    <row r="23" spans="1:50" s="380" customFormat="1">
      <c r="A23" s="61" t="s">
        <v>10</v>
      </c>
      <c r="B23" s="441" t="s">
        <v>254</v>
      </c>
      <c r="C23" s="18"/>
      <c r="D23" s="310"/>
      <c r="E23" s="589">
        <v>1.083413609932073</v>
      </c>
      <c r="F23" s="589">
        <v>1.1373796656855963</v>
      </c>
      <c r="G23" s="589">
        <v>1.3344445981499056</v>
      </c>
      <c r="H23" s="589">
        <v>1.0419221796622886</v>
      </c>
      <c r="I23" s="589">
        <v>1.0590372939054689</v>
      </c>
      <c r="J23" s="589">
        <v>1.016692731096416</v>
      </c>
      <c r="K23" s="589">
        <v>0.99919107793110218</v>
      </c>
      <c r="L23" s="18"/>
      <c r="M23" s="308"/>
      <c r="N23" s="429"/>
      <c r="O23" s="531">
        <f>O22/E22</f>
        <v>6.4351785251592783E-2</v>
      </c>
      <c r="P23" s="532">
        <f t="shared" ref="P23" si="103">P22/F22</f>
        <v>3.9210473977943361E-2</v>
      </c>
      <c r="Q23" s="532">
        <f t="shared" ref="Q23" si="104">Q22/G22</f>
        <v>9.1995533665985132E-2</v>
      </c>
      <c r="R23" s="531">
        <f t="shared" ref="R23" si="105">R22/H22</f>
        <v>8.3276099996348038E-2</v>
      </c>
      <c r="S23" s="532">
        <f t="shared" ref="S23" si="106">S22/I22</f>
        <v>6.6618377356085612E-2</v>
      </c>
      <c r="T23" s="531">
        <f t="shared" ref="T23" si="107">T22/J22</f>
        <v>0.10280707456213325</v>
      </c>
      <c r="U23" s="532">
        <f t="shared" ref="U23" si="108">U22/K22</f>
        <v>0.10453018166134044</v>
      </c>
      <c r="V23" s="27"/>
      <c r="W23" s="310"/>
      <c r="X23" s="429"/>
      <c r="Y23" s="163"/>
      <c r="Z23" s="163"/>
      <c r="AA23" s="163"/>
      <c r="AB23" s="163"/>
      <c r="AC23" s="163"/>
      <c r="AD23" s="163"/>
      <c r="AE23" s="163"/>
      <c r="AF23" s="18"/>
      <c r="AG23" s="341"/>
      <c r="AH23" s="341"/>
      <c r="AI23" s="18"/>
      <c r="AJ23" s="210"/>
      <c r="AK23" s="210"/>
      <c r="AL23" s="210"/>
      <c r="AM23" s="210"/>
      <c r="AN23" s="211"/>
      <c r="AO23" s="27"/>
      <c r="AP23" s="341"/>
      <c r="AQ23" s="487" t="s">
        <v>95</v>
      </c>
      <c r="AR23" s="125">
        <v>0.8</v>
      </c>
      <c r="AS23" s="300">
        <v>0.8</v>
      </c>
      <c r="AT23" s="125">
        <v>0.8</v>
      </c>
      <c r="AU23" s="125">
        <v>0.8</v>
      </c>
      <c r="AV23" s="300">
        <v>0.8</v>
      </c>
      <c r="AW23" s="27"/>
      <c r="AX23" s="341"/>
    </row>
    <row r="24" spans="1:50" s="380" customFormat="1">
      <c r="A24" s="61"/>
      <c r="B24" s="166"/>
      <c r="C24" s="167"/>
      <c r="D24" s="310"/>
      <c r="E24" s="163"/>
      <c r="F24" s="163"/>
      <c r="G24" s="163"/>
      <c r="H24" s="163"/>
      <c r="I24" s="163"/>
      <c r="J24" s="163"/>
      <c r="K24" s="163"/>
      <c r="L24" s="18"/>
      <c r="M24" s="308"/>
      <c r="N24" s="429"/>
      <c r="O24" s="163"/>
      <c r="P24" s="163"/>
      <c r="Q24" s="163"/>
      <c r="R24" s="163"/>
      <c r="S24" s="163"/>
      <c r="T24" s="163"/>
      <c r="U24" s="163"/>
      <c r="V24" s="27"/>
      <c r="W24" s="310"/>
      <c r="X24" s="429"/>
      <c r="Y24" s="163"/>
      <c r="Z24" s="163"/>
      <c r="AA24" s="163"/>
      <c r="AB24" s="163"/>
      <c r="AC24" s="163"/>
      <c r="AD24" s="163"/>
      <c r="AE24" s="163"/>
      <c r="AF24" s="18"/>
      <c r="AG24" s="341"/>
      <c r="AH24" s="341"/>
      <c r="AI24" s="18"/>
      <c r="AJ24" s="210"/>
      <c r="AK24" s="210"/>
      <c r="AL24" s="210"/>
      <c r="AM24" s="210"/>
      <c r="AN24" s="211"/>
      <c r="AO24" s="27"/>
      <c r="AP24" s="341"/>
      <c r="AQ24" s="201"/>
      <c r="AR24" s="163"/>
      <c r="AS24" s="163"/>
      <c r="AT24" s="163"/>
      <c r="AU24" s="163"/>
      <c r="AV24" s="163"/>
      <c r="AW24" s="27"/>
      <c r="AX24" s="341"/>
    </row>
    <row r="25" spans="1:50" s="380" customFormat="1">
      <c r="A25" s="105" t="s">
        <v>45</v>
      </c>
      <c r="B25" s="31" t="s">
        <v>84</v>
      </c>
      <c r="C25" s="27"/>
      <c r="D25" s="313"/>
      <c r="E25" s="462">
        <f t="shared" ref="E25:K25" si="109">E3+E5*E22</f>
        <v>7.8728444175045292E-2</v>
      </c>
      <c r="F25" s="462">
        <f t="shared" si="109"/>
        <v>7.9892082603380946E-2</v>
      </c>
      <c r="G25" s="462">
        <f t="shared" si="109"/>
        <v>9.815187378104652E-2</v>
      </c>
      <c r="H25" s="462">
        <f t="shared" si="109"/>
        <v>7.8435706500074906E-2</v>
      </c>
      <c r="I25" s="462">
        <f t="shared" si="109"/>
        <v>7.9419199941935845E-2</v>
      </c>
      <c r="J25" s="462">
        <f t="shared" si="109"/>
        <v>7.6889406753025066E-2</v>
      </c>
      <c r="K25" s="462">
        <f t="shared" si="109"/>
        <v>7.6076171610131971E-2</v>
      </c>
      <c r="L25" s="18"/>
      <c r="M25" s="308"/>
      <c r="N25" s="193" t="s">
        <v>66</v>
      </c>
      <c r="O25" s="462">
        <f t="shared" ref="O25" si="110">E25-Y25</f>
        <v>6.4827391564862419E-3</v>
      </c>
      <c r="P25" s="462">
        <f t="shared" ref="P25" si="111">F25-Z25</f>
        <v>4.9527560356773248E-3</v>
      </c>
      <c r="Q25" s="462">
        <f t="shared" ref="Q25" si="112">G25-AA25</f>
        <v>1.1289765834774534E-2</v>
      </c>
      <c r="R25" s="462">
        <f t="shared" ref="R25" si="113">H25-AB25</f>
        <v>7.6834747583428842E-3</v>
      </c>
      <c r="S25" s="462">
        <f t="shared" ref="S25" si="114">I25-AC25</f>
        <v>6.7216913848719279E-3</v>
      </c>
      <c r="T25" s="462">
        <f t="shared" ref="T25" si="115">J25-AD25</f>
        <v>8.7077744219417885E-3</v>
      </c>
      <c r="U25" s="462">
        <f t="shared" ref="U25" si="116">K25-AE25</f>
        <v>8.6833254359173218E-3</v>
      </c>
      <c r="V25" s="19"/>
      <c r="W25" s="313"/>
      <c r="X25" s="193" t="s">
        <v>66</v>
      </c>
      <c r="Y25" s="462">
        <f t="shared" ref="Y25:AE25" si="117">Y3+Y5*Y22</f>
        <v>7.224570501855905E-2</v>
      </c>
      <c r="Z25" s="462">
        <f t="shared" si="117"/>
        <v>7.4939326567703621E-2</v>
      </c>
      <c r="AA25" s="462">
        <f t="shared" si="117"/>
        <v>8.6862107946271985E-2</v>
      </c>
      <c r="AB25" s="462">
        <f t="shared" si="117"/>
        <v>7.0752231741732022E-2</v>
      </c>
      <c r="AC25" s="462">
        <f t="shared" si="117"/>
        <v>7.2697508557063917E-2</v>
      </c>
      <c r="AD25" s="462">
        <f t="shared" si="117"/>
        <v>6.8181632331083278E-2</v>
      </c>
      <c r="AE25" s="462">
        <f t="shared" si="117"/>
        <v>6.7392846174214649E-2</v>
      </c>
      <c r="AF25" s="18"/>
      <c r="AG25" s="343"/>
      <c r="AH25" s="343"/>
      <c r="AI25" s="18"/>
      <c r="AJ25" s="5">
        <f>E25-AR25</f>
        <v>1.1940127397182226E-2</v>
      </c>
      <c r="AK25" s="214">
        <f>F25-AS25</f>
        <v>6.4101502041217368E-3</v>
      </c>
      <c r="AL25" s="203">
        <f>H25-AT25</f>
        <v>8.6344712964344233E-3</v>
      </c>
      <c r="AM25" s="5">
        <f>J25-AU25</f>
        <v>5.3848021682023212E-3</v>
      </c>
      <c r="AN25" s="214">
        <f>K25-AV25</f>
        <v>4.5715670253092255E-3</v>
      </c>
      <c r="AO25" s="19"/>
      <c r="AP25" s="343"/>
      <c r="AQ25" s="155"/>
      <c r="AR25" s="462">
        <f>AR3+AR4*AR23+(AR5-AR4)*AR22</f>
        <v>6.6788316777863066E-2</v>
      </c>
      <c r="AS25" s="462">
        <f>AS3+AS4*AS23+(AS5-AS4)*AS22</f>
        <v>7.3481932399259209E-2</v>
      </c>
      <c r="AT25" s="462">
        <f>AT3+AT4*AT23+(AT5-AT4)*AT22</f>
        <v>6.9801235203640483E-2</v>
      </c>
      <c r="AU25" s="462">
        <f>AU3+AU4*AU23+(AU5-AU4)*AU22</f>
        <v>7.1504604584822745E-2</v>
      </c>
      <c r="AV25" s="462">
        <f>AV3+AV4*AV23+(AV5-AV4)*AV22</f>
        <v>7.1504604584822745E-2</v>
      </c>
      <c r="AW25" s="19"/>
      <c r="AX25" s="343"/>
    </row>
    <row r="26" spans="1:50" s="380" customFormat="1">
      <c r="A26" s="61" t="s">
        <v>11</v>
      </c>
      <c r="B26" s="31"/>
      <c r="C26" s="27"/>
      <c r="D26" s="313"/>
      <c r="E26" s="19"/>
      <c r="F26" s="19"/>
      <c r="G26" s="19"/>
      <c r="H26" s="19"/>
      <c r="I26" s="19"/>
      <c r="J26" s="19"/>
      <c r="K26" s="19"/>
      <c r="L26" s="22"/>
      <c r="M26" s="308"/>
      <c r="N26" s="431"/>
      <c r="O26" s="531">
        <f>O25/E25</f>
        <v>8.2343036553249815E-2</v>
      </c>
      <c r="P26" s="532">
        <f t="shared" ref="P26:U26" si="118">P25/F25</f>
        <v>6.1993077089565439E-2</v>
      </c>
      <c r="Q26" s="532">
        <f t="shared" si="118"/>
        <v>0.11502343663819721</v>
      </c>
      <c r="R26" s="531">
        <f t="shared" si="118"/>
        <v>9.795889016867014E-2</v>
      </c>
      <c r="S26" s="532">
        <f t="shared" si="118"/>
        <v>8.4635596805133051E-2</v>
      </c>
      <c r="T26" s="531">
        <f t="shared" si="118"/>
        <v>0.11325063867265692</v>
      </c>
      <c r="U26" s="532">
        <f t="shared" si="118"/>
        <v>0.11413988443604672</v>
      </c>
      <c r="V26" s="19"/>
      <c r="W26" s="313"/>
      <c r="X26" s="431"/>
      <c r="Y26" s="19"/>
      <c r="Z26" s="19"/>
      <c r="AA26" s="19"/>
      <c r="AB26" s="19"/>
      <c r="AC26" s="19"/>
      <c r="AD26" s="19"/>
      <c r="AE26" s="19"/>
      <c r="AF26" s="22"/>
      <c r="AG26" s="344"/>
      <c r="AH26" s="344"/>
      <c r="AI26" s="18"/>
      <c r="AJ26" s="99"/>
      <c r="AK26" s="26"/>
      <c r="AL26" s="99"/>
      <c r="AM26" s="99"/>
      <c r="AN26" s="26"/>
      <c r="AO26" s="19"/>
      <c r="AP26" s="344"/>
      <c r="AQ26" s="155"/>
      <c r="AR26" s="55"/>
      <c r="AS26" s="55"/>
      <c r="AT26" s="55"/>
      <c r="AU26" s="5"/>
      <c r="AV26" s="55"/>
      <c r="AW26" s="19"/>
      <c r="AX26" s="344"/>
    </row>
    <row r="27" spans="1:50" s="380" customFormat="1">
      <c r="A27" s="61"/>
      <c r="B27" s="643" t="s">
        <v>54</v>
      </c>
      <c r="C27" s="643"/>
      <c r="D27" s="317"/>
      <c r="E27" s="66">
        <f t="shared" ref="E27:K27" si="119">(1-E9)/(1-E7)*E25+E9*E14</f>
        <v>7.5355191028113097E-2</v>
      </c>
      <c r="F27" s="132">
        <f t="shared" si="119"/>
        <v>7.1217050312156124E-2</v>
      </c>
      <c r="G27" s="132">
        <f t="shared" si="119"/>
        <v>8.768058497633606E-2</v>
      </c>
      <c r="H27" s="66">
        <f t="shared" si="119"/>
        <v>7.5991828372609538E-2</v>
      </c>
      <c r="I27" s="132">
        <f t="shared" si="119"/>
        <v>7.3945823691145801E-2</v>
      </c>
      <c r="J27" s="66">
        <f t="shared" si="119"/>
        <v>8.1590602953316854E-2</v>
      </c>
      <c r="K27" s="132">
        <f t="shared" si="119"/>
        <v>8.3529076675368547E-2</v>
      </c>
      <c r="L27" s="1"/>
      <c r="M27" s="308"/>
      <c r="N27" s="442" t="s">
        <v>60</v>
      </c>
      <c r="O27" s="66">
        <f t="shared" ref="O27" si="120">E27-Y27</f>
        <v>9.2910988167053954E-4</v>
      </c>
      <c r="P27" s="433">
        <f t="shared" ref="P27" si="121">F27-Z27</f>
        <v>-2.4000195850267664E-3</v>
      </c>
      <c r="Q27" s="433">
        <f t="shared" ref="Q27" si="122">G27-AA27</f>
        <v>1.3261101484499105E-3</v>
      </c>
      <c r="R27" s="66">
        <f t="shared" ref="R27" si="123">H27-AB27</f>
        <v>6.9490639814327737E-4</v>
      </c>
      <c r="S27" s="433">
        <f t="shared" ref="S27" si="124">I27-AC27</f>
        <v>-5.0252721967497527E-4</v>
      </c>
      <c r="T27" s="66">
        <f t="shared" ref="T27" si="125">J27-AD27</f>
        <v>5.6165053037622314E-3</v>
      </c>
      <c r="U27" s="433">
        <f t="shared" ref="U27" si="126">K27-AE27</f>
        <v>6.3423126349118619E-3</v>
      </c>
      <c r="V27" s="40"/>
      <c r="W27" s="317"/>
      <c r="X27" s="442" t="s">
        <v>60</v>
      </c>
      <c r="Y27" s="66">
        <f t="shared" ref="Y27:AE27" si="127">(1-Y9)/(1-Y7)*Y25+Y9*Y14</f>
        <v>7.4426081146442558E-2</v>
      </c>
      <c r="Z27" s="433">
        <f t="shared" si="127"/>
        <v>7.3617069897182891E-2</v>
      </c>
      <c r="AA27" s="433">
        <f t="shared" si="127"/>
        <v>8.6354474827886149E-2</v>
      </c>
      <c r="AB27" s="66">
        <f t="shared" si="127"/>
        <v>7.529692197446626E-2</v>
      </c>
      <c r="AC27" s="433">
        <f t="shared" si="127"/>
        <v>7.4448350910820776E-2</v>
      </c>
      <c r="AD27" s="66">
        <f t="shared" si="127"/>
        <v>7.5974097649554623E-2</v>
      </c>
      <c r="AE27" s="433">
        <f t="shared" si="127"/>
        <v>7.7186764040456685E-2</v>
      </c>
      <c r="AF27" s="1"/>
      <c r="AG27" s="337"/>
      <c r="AH27" s="337"/>
      <c r="AI27" s="18"/>
      <c r="AJ27" s="5">
        <f>E27-AR27</f>
        <v>-2.0640848705182069E-4</v>
      </c>
      <c r="AK27" s="214">
        <f>F27-AS27</f>
        <v>-1.2017571454147488E-2</v>
      </c>
      <c r="AL27" s="203">
        <f>H27-AT27</f>
        <v>-1.8873838404903115E-2</v>
      </c>
      <c r="AM27" s="5">
        <f>J27-AU27</f>
        <v>-2.5626274080115807E-3</v>
      </c>
      <c r="AN27" s="214">
        <f>K27-AV27</f>
        <v>-6.241536859598884E-4</v>
      </c>
      <c r="AO27" s="40"/>
      <c r="AP27" s="337"/>
      <c r="AQ27" s="155"/>
      <c r="AR27" s="66">
        <f>(1-AR9)/(1-AR7)*AR25+AR9*AR14</f>
        <v>7.5561599515164918E-2</v>
      </c>
      <c r="AS27" s="62">
        <f>(1-AS9)/(1-AS7)*AS25+AS9*AS14</f>
        <v>8.3234621766303613E-2</v>
      </c>
      <c r="AT27" s="67">
        <f>(1-AT9)/(1-AT7)*AT25+AT9*AT14</f>
        <v>9.4865666777512653E-2</v>
      </c>
      <c r="AU27" s="67">
        <f>(1-AU9)/(1-AU7)*AU25+AU9*AU14</f>
        <v>8.4153230361328435E-2</v>
      </c>
      <c r="AV27" s="62">
        <f>(1-AV9)/(1-AV7)*AV25+AV9*AV14</f>
        <v>8.4153230361328435E-2</v>
      </c>
      <c r="AW27" s="40"/>
      <c r="AX27" s="337"/>
    </row>
    <row r="28" spans="1:50">
      <c r="A28" s="105"/>
      <c r="B28" s="644">
        <v>2019</v>
      </c>
      <c r="C28" s="644"/>
      <c r="D28" s="311"/>
      <c r="E28" s="299">
        <v>7.5355191028113097E-2</v>
      </c>
      <c r="F28" s="299">
        <v>7.1217050312156124E-2</v>
      </c>
      <c r="G28" s="299">
        <v>8.768058497633606E-2</v>
      </c>
      <c r="H28" s="299">
        <v>7.5991828372609538E-2</v>
      </c>
      <c r="I28" s="299">
        <v>7.3945823691145801E-2</v>
      </c>
      <c r="J28" s="299">
        <v>8.1590602953316854E-2</v>
      </c>
      <c r="K28" s="299">
        <v>8.3529076675368547E-2</v>
      </c>
      <c r="L28" s="1"/>
      <c r="M28" s="308"/>
      <c r="N28" s="429"/>
      <c r="O28" s="531">
        <f>O27/E27</f>
        <v>1.2329739583884969E-2</v>
      </c>
      <c r="P28" s="532">
        <f t="shared" ref="P28" si="128">P27/F27</f>
        <v>-3.3700070060569527E-2</v>
      </c>
      <c r="Q28" s="532">
        <f t="shared" ref="Q28" si="129">Q27/G27</f>
        <v>1.5124330532327217E-2</v>
      </c>
      <c r="R28" s="531">
        <f t="shared" ref="R28" si="130">R27/H27</f>
        <v>9.1444884670487687E-3</v>
      </c>
      <c r="S28" s="532">
        <f t="shared" ref="S28" si="131">S27/I27</f>
        <v>-6.7958837239262149E-3</v>
      </c>
      <c r="T28" s="531">
        <f t="shared" ref="T28" si="132">T27/J27</f>
        <v>6.8837649195652953E-2</v>
      </c>
      <c r="U28" s="532">
        <f t="shared" ref="U28" si="133">U27/K27</f>
        <v>7.5929399525879279E-2</v>
      </c>
      <c r="V28" s="20"/>
      <c r="W28" s="311"/>
      <c r="X28" s="429"/>
      <c r="Y28" s="20"/>
      <c r="Z28" s="639"/>
      <c r="AA28" s="639"/>
      <c r="AB28" s="20"/>
      <c r="AC28" s="20"/>
      <c r="AD28" s="20"/>
      <c r="AE28" s="136"/>
      <c r="AF28" s="1"/>
      <c r="AG28" s="341"/>
      <c r="AH28" s="341"/>
      <c r="AI28"/>
      <c r="AJ28" s="20"/>
      <c r="AK28" s="65"/>
      <c r="AL28" s="65">
        <f>AL27-AK27</f>
        <v>-6.8562669507556268E-3</v>
      </c>
      <c r="AM28" s="65"/>
      <c r="AN28" s="211"/>
      <c r="AO28" s="20"/>
      <c r="AP28" s="341"/>
      <c r="AQ28" s="293"/>
      <c r="AR28" s="294"/>
      <c r="AS28" s="298" t="s">
        <v>238</v>
      </c>
      <c r="AT28" s="299">
        <f>AT27/(1-AT17)-AT17/(1-AT17)*AV27</f>
        <v>9.6756096733309871E-2</v>
      </c>
      <c r="AU28" s="16"/>
      <c r="AV28" s="136"/>
      <c r="AW28" s="20"/>
      <c r="AX28" s="341"/>
    </row>
    <row r="29" spans="1:50" s="376" customFormat="1" ht="12.75" customHeight="1">
      <c r="A29" s="61"/>
      <c r="B29" s="54" t="s">
        <v>91</v>
      </c>
      <c r="C29" s="19"/>
      <c r="D29" s="318"/>
      <c r="E29" s="463">
        <f>$F$29</f>
        <v>0</v>
      </c>
      <c r="F29" s="464">
        <v>0</v>
      </c>
      <c r="G29" s="462">
        <f>$F$29</f>
        <v>0</v>
      </c>
      <c r="H29" s="463">
        <f t="shared" ref="H29:K29" si="134">$F$29</f>
        <v>0</v>
      </c>
      <c r="I29" s="462">
        <f t="shared" si="134"/>
        <v>0</v>
      </c>
      <c r="J29" s="463">
        <f t="shared" si="134"/>
        <v>0</v>
      </c>
      <c r="K29" s="462">
        <f t="shared" si="134"/>
        <v>0</v>
      </c>
      <c r="L29" s="22"/>
      <c r="M29" s="308"/>
      <c r="N29" s="19" t="s">
        <v>91</v>
      </c>
      <c r="O29" s="463">
        <f t="shared" ref="O29" si="135">E29-Y29</f>
        <v>0</v>
      </c>
      <c r="P29" s="480">
        <f t="shared" ref="P29" si="136">F29-Z29</f>
        <v>0</v>
      </c>
      <c r="Q29" s="462">
        <f t="shared" ref="Q29" si="137">G29-AA29</f>
        <v>0</v>
      </c>
      <c r="R29" s="463">
        <f t="shared" ref="R29" si="138">H29-AB29</f>
        <v>0</v>
      </c>
      <c r="S29" s="462">
        <f t="shared" ref="S29" si="139">I29-AC29</f>
        <v>0</v>
      </c>
      <c r="T29" s="463">
        <f t="shared" ref="T29" si="140">J29-AD29</f>
        <v>0</v>
      </c>
      <c r="U29" s="462">
        <f t="shared" ref="U29" si="141">K29-AE29</f>
        <v>0</v>
      </c>
      <c r="V29" s="16"/>
      <c r="W29" s="318"/>
      <c r="X29" s="19" t="s">
        <v>91</v>
      </c>
      <c r="Y29" s="463">
        <f>$Z$29</f>
        <v>0</v>
      </c>
      <c r="Z29" s="464">
        <v>0</v>
      </c>
      <c r="AA29" s="462">
        <f>$Z$29</f>
        <v>0</v>
      </c>
      <c r="AB29" s="463">
        <f t="shared" ref="AB29:AE29" si="142">$Z$29</f>
        <v>0</v>
      </c>
      <c r="AC29" s="462">
        <f t="shared" si="142"/>
        <v>0</v>
      </c>
      <c r="AD29" s="463">
        <f t="shared" si="142"/>
        <v>0</v>
      </c>
      <c r="AE29" s="462">
        <f t="shared" si="142"/>
        <v>0</v>
      </c>
      <c r="AF29" s="22"/>
      <c r="AG29" s="336"/>
      <c r="AH29" s="336"/>
      <c r="AI29" s="1"/>
      <c r="AJ29" s="5">
        <f>E29-AR29</f>
        <v>-1.8898687247344555E-3</v>
      </c>
      <c r="AK29" s="58">
        <f>F29-AS29</f>
        <v>-1.8898687247344555E-3</v>
      </c>
      <c r="AL29" s="203">
        <f>H29-AT29</f>
        <v>-1.1629961382981263E-3</v>
      </c>
      <c r="AM29" s="5">
        <f>J29-AU29</f>
        <v>-2.8482714003741161E-3</v>
      </c>
      <c r="AN29" s="58">
        <f>K29-AV29</f>
        <v>-2.8482714003741161E-3</v>
      </c>
      <c r="AO29" s="16"/>
      <c r="AP29" s="336"/>
      <c r="AQ29" s="168"/>
      <c r="AR29" s="20">
        <v>1.8898687247344555E-3</v>
      </c>
      <c r="AS29" s="171">
        <v>1.8898687247344555E-3</v>
      </c>
      <c r="AT29" s="20">
        <v>1.1629961382981263E-3</v>
      </c>
      <c r="AU29" s="20">
        <v>2.8482714003741161E-3</v>
      </c>
      <c r="AV29" s="171">
        <v>2.8482714003741161E-3</v>
      </c>
      <c r="AW29" s="16"/>
      <c r="AX29" s="336"/>
    </row>
    <row r="30" spans="1:50" ht="13.2" customHeight="1">
      <c r="A30" s="147"/>
      <c r="B30" s="31"/>
      <c r="C30" s="27"/>
      <c r="D30" s="313"/>
      <c r="E30" s="19"/>
      <c r="F30" s="19"/>
      <c r="G30" s="19"/>
      <c r="H30" s="19"/>
      <c r="I30" s="19"/>
      <c r="J30" s="19"/>
      <c r="K30" s="19"/>
      <c r="L30" s="22"/>
      <c r="M30" s="308"/>
      <c r="N30" s="431"/>
      <c r="O30" s="19"/>
      <c r="P30" s="19"/>
      <c r="Q30" s="19"/>
      <c r="R30" s="19"/>
      <c r="S30" s="19"/>
      <c r="T30" s="19"/>
      <c r="U30" s="19"/>
      <c r="V30" s="19"/>
      <c r="W30" s="313"/>
      <c r="X30" s="431"/>
      <c r="Y30" s="19"/>
      <c r="Z30" s="19"/>
      <c r="AA30" s="19"/>
      <c r="AB30" s="19"/>
      <c r="AC30" s="19"/>
      <c r="AD30" s="19"/>
      <c r="AE30" s="19"/>
      <c r="AF30" s="22"/>
      <c r="AG30" s="344"/>
      <c r="AH30" s="344"/>
      <c r="AI30"/>
      <c r="AJ30" s="198"/>
      <c r="AK30" s="19"/>
      <c r="AL30" s="19"/>
      <c r="AM30" s="19"/>
      <c r="AN30" s="19"/>
      <c r="AO30" s="19"/>
      <c r="AP30" s="344"/>
      <c r="AQ30" s="168"/>
      <c r="AR30" s="56"/>
      <c r="AS30" s="56"/>
      <c r="AT30" s="56"/>
      <c r="AU30" s="56"/>
      <c r="AV30" s="56"/>
      <c r="AW30" s="19"/>
      <c r="AX30" s="344"/>
    </row>
    <row r="31" spans="1:50">
      <c r="A31" s="147" t="s">
        <v>17</v>
      </c>
      <c r="B31" s="643" t="s">
        <v>56</v>
      </c>
      <c r="C31" s="643"/>
      <c r="D31" s="313"/>
      <c r="E31" s="66">
        <f t="shared" ref="E31:K31" si="143">E27-E29</f>
        <v>7.5355191028113097E-2</v>
      </c>
      <c r="F31" s="137">
        <f t="shared" si="143"/>
        <v>7.1217050312156124E-2</v>
      </c>
      <c r="G31" s="137">
        <f t="shared" si="143"/>
        <v>8.768058497633606E-2</v>
      </c>
      <c r="H31" s="66">
        <f t="shared" si="143"/>
        <v>7.5991828372609538E-2</v>
      </c>
      <c r="I31" s="137">
        <f t="shared" si="143"/>
        <v>7.3945823691145801E-2</v>
      </c>
      <c r="J31" s="66">
        <f t="shared" si="143"/>
        <v>8.1590602953316854E-2</v>
      </c>
      <c r="K31" s="137">
        <f t="shared" si="143"/>
        <v>8.3529076675368547E-2</v>
      </c>
      <c r="L31" s="107"/>
      <c r="M31" s="308"/>
      <c r="N31" s="442" t="s">
        <v>62</v>
      </c>
      <c r="O31" s="66">
        <f t="shared" ref="O31" si="144">E31-Y31</f>
        <v>9.2910988167053954E-4</v>
      </c>
      <c r="P31" s="434">
        <f t="shared" ref="P31" si="145">F31-Z31</f>
        <v>-2.4000195850267664E-3</v>
      </c>
      <c r="Q31" s="434">
        <f t="shared" ref="Q31" si="146">G31-AA31</f>
        <v>1.3261101484499105E-3</v>
      </c>
      <c r="R31" s="66">
        <f t="shared" ref="R31" si="147">H31-AB31</f>
        <v>6.9490639814327737E-4</v>
      </c>
      <c r="S31" s="434">
        <f t="shared" ref="S31" si="148">I31-AC31</f>
        <v>-5.0252721967497527E-4</v>
      </c>
      <c r="T31" s="66">
        <f t="shared" ref="T31" si="149">J31-AD31</f>
        <v>5.6165053037622314E-3</v>
      </c>
      <c r="U31" s="434">
        <f t="shared" ref="U31" si="150">K31-AE31</f>
        <v>6.3423126349118619E-3</v>
      </c>
      <c r="V31" s="19"/>
      <c r="W31" s="313"/>
      <c r="X31" s="442" t="s">
        <v>62</v>
      </c>
      <c r="Y31" s="66">
        <f t="shared" ref="Y31:AE31" si="151">Y27-Y29</f>
        <v>7.4426081146442558E-2</v>
      </c>
      <c r="Z31" s="433">
        <f t="shared" si="151"/>
        <v>7.3617069897182891E-2</v>
      </c>
      <c r="AA31" s="433">
        <f t="shared" si="151"/>
        <v>8.6354474827886149E-2</v>
      </c>
      <c r="AB31" s="66">
        <f t="shared" si="151"/>
        <v>7.529692197446626E-2</v>
      </c>
      <c r="AC31" s="433">
        <f t="shared" si="151"/>
        <v>7.4448350910820776E-2</v>
      </c>
      <c r="AD31" s="66">
        <f t="shared" si="151"/>
        <v>7.5974097649554623E-2</v>
      </c>
      <c r="AE31" s="433">
        <f t="shared" si="151"/>
        <v>7.7186764040456685E-2</v>
      </c>
      <c r="AF31" s="107"/>
      <c r="AG31" s="344"/>
      <c r="AH31" s="344"/>
      <c r="AI31"/>
      <c r="AJ31" s="5">
        <f>E31-AR31</f>
        <v>1.6834602376826352E-3</v>
      </c>
      <c r="AK31" s="213">
        <f>F31-AS31</f>
        <v>-1.0127702729413032E-2</v>
      </c>
      <c r="AL31" s="203">
        <f>H31-AT31</f>
        <v>-1.7710842266604993E-2</v>
      </c>
      <c r="AM31" s="5">
        <f>J31-AU31</f>
        <v>2.8564399236254145E-4</v>
      </c>
      <c r="AN31" s="213">
        <f>K31-AV31</f>
        <v>2.2241177144142338E-3</v>
      </c>
      <c r="AO31" s="19"/>
      <c r="AP31" s="344"/>
      <c r="AQ31" s="168"/>
      <c r="AR31" s="66">
        <f>AR27-AR29</f>
        <v>7.3671730790430462E-2</v>
      </c>
      <c r="AS31" s="62">
        <f>AS27-AS29</f>
        <v>8.1344753041569157E-2</v>
      </c>
      <c r="AT31" s="67">
        <f>AT27-AT29</f>
        <v>9.370267063921453E-2</v>
      </c>
      <c r="AU31" s="67">
        <f>AU27-AU29</f>
        <v>8.1304958960954313E-2</v>
      </c>
      <c r="AV31" s="62">
        <f>AV27-AV29</f>
        <v>8.1304958960954313E-2</v>
      </c>
      <c r="AW31" s="19"/>
      <c r="AX31" s="344"/>
    </row>
    <row r="32" spans="1:50" ht="13.2" customHeight="1">
      <c r="A32" s="147"/>
      <c r="B32" s="638" t="s">
        <v>233</v>
      </c>
      <c r="C32" s="638"/>
      <c r="D32" s="317"/>
      <c r="E32" s="4"/>
      <c r="F32" s="7"/>
      <c r="G32" s="305">
        <f>G31-$F$31</f>
        <v>1.6463534664179935E-2</v>
      </c>
      <c r="H32" s="306">
        <f>H31</f>
        <v>7.5991828372609538E-2</v>
      </c>
      <c r="I32" s="305">
        <f>I31-$F$31</f>
        <v>2.7287733789896768E-3</v>
      </c>
      <c r="J32" s="22"/>
      <c r="K32" s="305">
        <f>K31-$F$31</f>
        <v>1.2312026363212422E-2</v>
      </c>
      <c r="L32" s="107"/>
      <c r="M32" s="308"/>
      <c r="N32" s="22" t="s">
        <v>233</v>
      </c>
      <c r="O32" s="4"/>
      <c r="P32" s="1"/>
      <c r="Q32" s="471">
        <f t="shared" ref="Q32" si="152">G32-AA32</f>
        <v>3.7261297334766769E-3</v>
      </c>
      <c r="R32" s="306"/>
      <c r="S32" s="471">
        <f t="shared" ref="S32" si="153">I32-AC32</f>
        <v>1.8974923653517911E-3</v>
      </c>
      <c r="T32" s="22">
        <f t="shared" ref="T32" si="154">J32-AD32</f>
        <v>0</v>
      </c>
      <c r="U32" s="471">
        <f t="shared" ref="U32" si="155">K32-AE32</f>
        <v>8.7423322199386283E-3</v>
      </c>
      <c r="V32" s="22"/>
      <c r="W32" s="317"/>
      <c r="X32" s="22" t="s">
        <v>233</v>
      </c>
      <c r="Y32" s="4"/>
      <c r="Z32" s="1"/>
      <c r="AA32" s="471">
        <f>AA31-$Z$31</f>
        <v>1.2737404930703258E-2</v>
      </c>
      <c r="AB32" s="306"/>
      <c r="AC32" s="471">
        <f>AC31-$Z$31</f>
        <v>8.3128101363788565E-4</v>
      </c>
      <c r="AD32" s="22"/>
      <c r="AE32" s="471">
        <f>AE31-$Z$31</f>
        <v>3.5696941432737939E-3</v>
      </c>
      <c r="AF32" s="107"/>
      <c r="AI32" s="231"/>
      <c r="AJ32" s="199"/>
      <c r="AK32" s="298" t="s">
        <v>238</v>
      </c>
      <c r="AL32" s="299">
        <f>H32-AT32</f>
        <v>-1.9601272222402211E-2</v>
      </c>
      <c r="AM32" s="297" t="s">
        <v>237</v>
      </c>
      <c r="AN32" s="16">
        <f>K32-AV32</f>
        <v>1.2351820443827266E-2</v>
      </c>
      <c r="AO32" s="22"/>
      <c r="AQ32" s="293"/>
      <c r="AR32" s="295"/>
      <c r="AS32" s="298" t="s">
        <v>238</v>
      </c>
      <c r="AT32" s="299">
        <f>AT28-AT29</f>
        <v>9.5593100595011748E-2</v>
      </c>
      <c r="AU32" s="297" t="s">
        <v>237</v>
      </c>
      <c r="AV32" s="136">
        <f>AV31-AS31</f>
        <v>-3.9794080614843907E-5</v>
      </c>
      <c r="AW32" s="22"/>
    </row>
    <row r="33" spans="1:50" s="381" customFormat="1" ht="13.2" customHeight="1">
      <c r="A33" s="148"/>
      <c r="B33" s="634"/>
      <c r="C33" s="634"/>
      <c r="D33" s="319"/>
      <c r="E33" s="20"/>
      <c r="F33" s="10"/>
      <c r="G33" s="10"/>
      <c r="H33" s="20"/>
      <c r="I33" s="20"/>
      <c r="J33" s="20"/>
      <c r="K33" s="20"/>
      <c r="L33" s="107"/>
      <c r="M33" s="308"/>
      <c r="N33" s="428"/>
      <c r="O33" s="20"/>
      <c r="P33" s="10"/>
      <c r="Q33" s="10"/>
      <c r="R33" s="20"/>
      <c r="S33" s="20"/>
      <c r="T33" s="20"/>
      <c r="U33" s="20"/>
      <c r="V33" s="22"/>
      <c r="W33" s="319"/>
      <c r="X33" s="428"/>
      <c r="Y33" s="20"/>
      <c r="Z33" s="10"/>
      <c r="AA33" s="10"/>
      <c r="AB33" s="20"/>
      <c r="AC33" s="20"/>
      <c r="AD33" s="20"/>
      <c r="AE33" s="20"/>
      <c r="AF33" s="107"/>
      <c r="AG33" s="337"/>
      <c r="AH33" s="337"/>
      <c r="AI33" s="107"/>
      <c r="AJ33" s="63"/>
      <c r="AK33" s="63"/>
      <c r="AL33" s="63"/>
      <c r="AM33" s="63"/>
      <c r="AN33" s="200"/>
      <c r="AO33" s="22"/>
      <c r="AP33" s="337"/>
      <c r="AQ33" s="170"/>
      <c r="AR33" s="2"/>
      <c r="AS33" s="2"/>
      <c r="AT33" s="2"/>
      <c r="AU33" s="2"/>
      <c r="AV33" s="2"/>
      <c r="AW33" s="22"/>
      <c r="AX33" s="337"/>
    </row>
    <row r="34" spans="1:50" s="381" customFormat="1" ht="13.2" customHeight="1">
      <c r="A34" s="147" t="s">
        <v>16</v>
      </c>
      <c r="B34" s="639"/>
      <c r="C34" s="639"/>
      <c r="D34" s="319"/>
      <c r="E34" s="10"/>
      <c r="F34" s="10" t="s">
        <v>72</v>
      </c>
      <c r="G34" s="10"/>
      <c r="H34" s="20"/>
      <c r="I34" s="20"/>
      <c r="J34" s="20"/>
      <c r="K34" s="20"/>
      <c r="L34" s="107"/>
      <c r="M34" s="308"/>
      <c r="N34" s="431"/>
      <c r="O34" s="10"/>
      <c r="P34" s="443"/>
      <c r="Q34" s="10"/>
      <c r="R34" s="20"/>
      <c r="S34" s="20"/>
      <c r="T34" s="20"/>
      <c r="U34" s="20"/>
      <c r="V34" s="292"/>
      <c r="W34" s="319"/>
      <c r="X34" s="431"/>
      <c r="Y34" s="10"/>
      <c r="Z34" s="443" t="s">
        <v>72</v>
      </c>
      <c r="AA34" s="10"/>
      <c r="AB34" s="20"/>
      <c r="AC34" s="20"/>
      <c r="AD34" s="20"/>
      <c r="AE34" s="20"/>
      <c r="AF34" s="107"/>
      <c r="AG34" s="344"/>
      <c r="AH34" s="344"/>
      <c r="AI34" s="292"/>
      <c r="AJ34" s="107"/>
      <c r="AK34" s="107"/>
      <c r="AL34" s="107"/>
      <c r="AM34" s="107"/>
      <c r="AN34" s="107"/>
      <c r="AO34" s="292"/>
      <c r="AP34" s="344"/>
      <c r="AQ34" s="107"/>
      <c r="AR34" s="10" t="s">
        <v>236</v>
      </c>
      <c r="AS34" s="7"/>
      <c r="AT34" s="7"/>
      <c r="AU34" s="7"/>
      <c r="AV34" s="7"/>
      <c r="AW34" s="7"/>
      <c r="AX34" s="344"/>
    </row>
    <row r="35" spans="1:50" s="332" customFormat="1" ht="13.2" customHeight="1">
      <c r="A35" s="326" t="s">
        <v>43</v>
      </c>
      <c r="B35" s="327"/>
      <c r="C35" s="328"/>
      <c r="D35" s="320"/>
      <c r="E35" s="329"/>
      <c r="F35" s="329"/>
      <c r="G35" s="329"/>
      <c r="H35" s="329"/>
      <c r="I35" s="329"/>
      <c r="J35" s="329"/>
      <c r="K35" s="329"/>
      <c r="L35" s="329"/>
      <c r="M35" s="320"/>
      <c r="N35" s="330"/>
      <c r="O35" s="329"/>
      <c r="P35" s="329"/>
      <c r="Q35" s="329"/>
      <c r="R35" s="329"/>
      <c r="S35" s="329"/>
      <c r="T35" s="329"/>
      <c r="U35" s="329"/>
      <c r="V35" s="331"/>
      <c r="W35" s="320"/>
      <c r="X35" s="328"/>
      <c r="Y35" s="329"/>
      <c r="Z35" s="329"/>
      <c r="AA35" s="329"/>
      <c r="AB35" s="329"/>
      <c r="AC35" s="329"/>
      <c r="AD35" s="329"/>
      <c r="AE35" s="329"/>
      <c r="AF35" s="329"/>
      <c r="AG35" s="330"/>
      <c r="AH35" s="330"/>
      <c r="AI35" s="331"/>
      <c r="AJ35" s="330"/>
      <c r="AK35" s="330"/>
      <c r="AL35" s="330"/>
      <c r="AM35" s="330"/>
      <c r="AN35" s="330"/>
      <c r="AO35" s="331"/>
      <c r="AP35" s="330"/>
      <c r="AQ35" s="330"/>
      <c r="AR35" s="329"/>
      <c r="AS35" s="329"/>
      <c r="AT35" s="329"/>
      <c r="AU35" s="329"/>
      <c r="AV35" s="331"/>
      <c r="AW35" s="331"/>
      <c r="AX35" s="330"/>
    </row>
    <row r="36" spans="1:50" s="332" customFormat="1" ht="13.2" customHeight="1">
      <c r="A36" s="149"/>
      <c r="B36" s="640" t="s">
        <v>99</v>
      </c>
      <c r="C36" s="640"/>
      <c r="D36" s="321"/>
      <c r="E36" s="134" t="s">
        <v>1</v>
      </c>
      <c r="F36" s="179" t="s">
        <v>87</v>
      </c>
      <c r="G36" s="179" t="s">
        <v>88</v>
      </c>
      <c r="H36" s="134" t="s">
        <v>25</v>
      </c>
      <c r="I36" s="179" t="s">
        <v>89</v>
      </c>
      <c r="J36" s="134" t="s">
        <v>86</v>
      </c>
      <c r="K36" s="179" t="s">
        <v>21</v>
      </c>
      <c r="L36" s="49"/>
      <c r="M36" s="321"/>
      <c r="N36" s="330"/>
      <c r="O36" s="329"/>
      <c r="P36" s="329"/>
      <c r="Q36" s="329"/>
      <c r="R36" s="329"/>
      <c r="S36" s="329"/>
      <c r="T36" s="329"/>
      <c r="U36" s="329"/>
      <c r="V36" s="331"/>
      <c r="W36" s="321"/>
      <c r="X36" s="435" t="s">
        <v>99</v>
      </c>
      <c r="Y36" s="134" t="s">
        <v>1</v>
      </c>
      <c r="Z36" s="435" t="s">
        <v>87</v>
      </c>
      <c r="AA36" s="435" t="s">
        <v>88</v>
      </c>
      <c r="AB36" s="134" t="s">
        <v>25</v>
      </c>
      <c r="AC36" s="435" t="s">
        <v>89</v>
      </c>
      <c r="AD36" s="134" t="s">
        <v>86</v>
      </c>
      <c r="AE36" s="435" t="s">
        <v>21</v>
      </c>
      <c r="AF36" s="49"/>
      <c r="AI36" s="331"/>
      <c r="AJ36" s="330"/>
      <c r="AK36" s="330"/>
      <c r="AL36" s="330"/>
      <c r="AM36" s="330"/>
      <c r="AN36" s="330"/>
      <c r="AO36" s="331"/>
      <c r="AR36" s="329"/>
      <c r="AS36" s="329"/>
      <c r="AT36" s="329"/>
      <c r="AU36" s="329"/>
      <c r="AV36" s="331"/>
      <c r="AW36" s="331"/>
    </row>
    <row r="37" spans="1:50" s="332" customFormat="1" ht="13.2" customHeight="1" thickBot="1">
      <c r="A37" s="149"/>
      <c r="B37" s="61"/>
      <c r="C37" s="23"/>
      <c r="D37" s="322"/>
      <c r="E37" s="7"/>
      <c r="F37" s="7"/>
      <c r="G37" s="7"/>
      <c r="H37" s="51"/>
      <c r="I37" s="51"/>
      <c r="J37" s="51"/>
      <c r="K37" s="51"/>
      <c r="L37" s="49"/>
      <c r="M37" s="322"/>
      <c r="N37" s="330"/>
      <c r="O37" s="329"/>
      <c r="P37" s="329"/>
      <c r="Q37" s="329"/>
      <c r="R37" s="329"/>
      <c r="S37" s="329"/>
      <c r="T37" s="329"/>
      <c r="U37" s="329"/>
      <c r="V37" s="331"/>
      <c r="W37" s="322"/>
      <c r="X37" s="23"/>
      <c r="Y37" s="7"/>
      <c r="Z37" s="7"/>
      <c r="AA37" s="7"/>
      <c r="AB37" s="51"/>
      <c r="AC37" s="51"/>
      <c r="AD37" s="51"/>
      <c r="AE37" s="51"/>
      <c r="AF37" s="49"/>
      <c r="AI37" s="331"/>
      <c r="AJ37" s="330"/>
      <c r="AK37" s="330"/>
      <c r="AL37" s="330"/>
      <c r="AM37" s="330"/>
      <c r="AN37" s="330"/>
      <c r="AO37" s="331"/>
      <c r="AR37" s="347"/>
      <c r="AS37" s="348"/>
      <c r="AT37" s="347"/>
      <c r="AU37" s="347"/>
      <c r="AV37" s="331"/>
      <c r="AW37" s="331"/>
    </row>
    <row r="38" spans="1:50" s="332" customFormat="1" ht="13.2" customHeight="1">
      <c r="A38" s="149"/>
      <c r="B38" s="150" t="s">
        <v>97</v>
      </c>
      <c r="C38" s="151" t="s">
        <v>22</v>
      </c>
      <c r="D38" s="310"/>
      <c r="E38" s="465">
        <v>6.7400534232237765</v>
      </c>
      <c r="F38" s="7"/>
      <c r="G38" s="50" t="s">
        <v>307</v>
      </c>
      <c r="H38" s="539">
        <v>5.3075336915758307</v>
      </c>
      <c r="I38" s="51"/>
      <c r="J38" s="49"/>
      <c r="K38" s="51"/>
      <c r="L38" s="49"/>
      <c r="M38" s="310"/>
      <c r="N38" s="330"/>
      <c r="O38" s="329"/>
      <c r="P38" s="329"/>
      <c r="Q38" s="329"/>
      <c r="R38" s="329"/>
      <c r="S38" s="329"/>
      <c r="T38" s="329"/>
      <c r="U38" s="329"/>
      <c r="V38" s="331"/>
      <c r="W38" s="310"/>
      <c r="X38" s="151" t="s">
        <v>22</v>
      </c>
      <c r="Y38" s="465">
        <v>6.2799999999999994</v>
      </c>
      <c r="Z38" s="7"/>
      <c r="AA38" s="51"/>
      <c r="AB38" s="51"/>
      <c r="AC38" s="51"/>
      <c r="AD38" s="49"/>
      <c r="AE38" s="51"/>
      <c r="AF38" s="49"/>
      <c r="AI38" s="331"/>
      <c r="AJ38" s="330"/>
      <c r="AK38" s="330"/>
      <c r="AL38" s="330"/>
      <c r="AM38" s="330"/>
      <c r="AN38" s="330"/>
      <c r="AO38" s="331"/>
      <c r="AR38" s="349"/>
      <c r="AS38" s="349"/>
      <c r="AT38" s="349"/>
      <c r="AU38" s="349"/>
      <c r="AV38" s="331"/>
      <c r="AW38" s="331"/>
    </row>
    <row r="39" spans="1:50" s="332" customFormat="1" ht="13.8" thickBot="1">
      <c r="A39" s="149"/>
      <c r="B39" s="49"/>
      <c r="C39" s="152" t="s">
        <v>0</v>
      </c>
      <c r="D39" s="310"/>
      <c r="E39" s="466">
        <v>0.82095949624190379</v>
      </c>
      <c r="F39" s="23"/>
      <c r="G39" s="49"/>
      <c r="H39" s="539">
        <v>6.7400534232237765</v>
      </c>
      <c r="I39" s="49"/>
      <c r="J39" s="49"/>
      <c r="K39" s="49"/>
      <c r="L39" s="32"/>
      <c r="M39" s="310"/>
      <c r="N39" s="330"/>
      <c r="O39" s="329"/>
      <c r="P39" s="329"/>
      <c r="Q39" s="329"/>
      <c r="R39" s="329"/>
      <c r="S39" s="329"/>
      <c r="T39" s="329"/>
      <c r="U39" s="329"/>
      <c r="V39" s="331"/>
      <c r="W39" s="310"/>
      <c r="X39" s="152" t="s">
        <v>0</v>
      </c>
      <c r="Y39" s="466">
        <v>1.0768499999999999</v>
      </c>
      <c r="Z39" s="23"/>
      <c r="AA39" s="49"/>
      <c r="AB39" s="49"/>
      <c r="AC39" s="49"/>
      <c r="AD39" s="49"/>
      <c r="AE39" s="49"/>
      <c r="AF39" s="32"/>
      <c r="AG39" s="341"/>
      <c r="AH39" s="341"/>
      <c r="AI39" s="331"/>
      <c r="AJ39" s="330"/>
      <c r="AK39" s="330"/>
      <c r="AL39" s="330"/>
      <c r="AM39" s="330"/>
      <c r="AN39" s="330"/>
      <c r="AO39" s="331"/>
      <c r="AP39" s="341"/>
      <c r="AQ39" s="329"/>
      <c r="AR39" s="349"/>
      <c r="AS39" s="350"/>
      <c r="AT39" s="349"/>
      <c r="AU39" s="349"/>
      <c r="AV39" s="331"/>
      <c r="AW39" s="331"/>
      <c r="AX39" s="341"/>
    </row>
    <row r="40" spans="1:50" s="332" customFormat="1">
      <c r="A40" s="149"/>
      <c r="B40" s="49"/>
      <c r="C40" s="177"/>
      <c r="D40" s="310"/>
      <c r="E40" s="64"/>
      <c r="F40" s="23"/>
      <c r="G40" s="49"/>
      <c r="H40" s="49"/>
      <c r="I40" s="49"/>
      <c r="J40" s="49"/>
      <c r="K40" s="49"/>
      <c r="L40" s="32"/>
      <c r="M40" s="310"/>
      <c r="N40" s="330"/>
      <c r="O40" s="329"/>
      <c r="P40" s="329"/>
      <c r="Q40" s="329"/>
      <c r="R40" s="329"/>
      <c r="S40" s="329"/>
      <c r="T40" s="329"/>
      <c r="U40" s="329"/>
      <c r="V40" s="331"/>
      <c r="W40" s="310"/>
      <c r="X40" s="177"/>
      <c r="Y40" s="64"/>
      <c r="Z40" s="23"/>
      <c r="AA40" s="49"/>
      <c r="AB40" s="49"/>
      <c r="AC40" s="49"/>
      <c r="AD40" s="49"/>
      <c r="AE40" s="49"/>
      <c r="AF40" s="32"/>
      <c r="AG40" s="341"/>
      <c r="AH40" s="341"/>
      <c r="AI40" s="331"/>
      <c r="AJ40" s="316"/>
      <c r="AK40" s="324"/>
      <c r="AL40" s="324"/>
      <c r="AM40" s="324"/>
      <c r="AN40" s="324"/>
      <c r="AO40" s="331"/>
      <c r="AP40" s="341"/>
      <c r="AQ40" s="329"/>
      <c r="AR40" s="351"/>
      <c r="AS40" s="351"/>
      <c r="AT40" s="351"/>
      <c r="AU40" s="351"/>
      <c r="AV40" s="331"/>
      <c r="AW40" s="331"/>
      <c r="AX40" s="341"/>
    </row>
    <row r="41" spans="1:50" s="332" customFormat="1" ht="13.8" thickBot="1">
      <c r="A41" s="149"/>
      <c r="B41" s="150" t="s">
        <v>255</v>
      </c>
      <c r="C41" s="178"/>
      <c r="D41" s="310"/>
      <c r="E41" s="444" t="s">
        <v>266</v>
      </c>
      <c r="F41" s="104" t="s">
        <v>83</v>
      </c>
      <c r="G41" s="104" t="s">
        <v>267</v>
      </c>
      <c r="H41" s="117" t="s">
        <v>79</v>
      </c>
      <c r="I41" s="141" t="s">
        <v>90</v>
      </c>
      <c r="J41" s="102"/>
      <c r="K41" s="138" t="s">
        <v>8</v>
      </c>
      <c r="L41" s="108"/>
      <c r="M41" s="310"/>
      <c r="N41" s="330"/>
      <c r="O41" s="524" t="s">
        <v>300</v>
      </c>
      <c r="P41" s="524" t="s">
        <v>354</v>
      </c>
      <c r="Q41" s="329"/>
      <c r="R41" s="329"/>
      <c r="S41" s="329"/>
      <c r="T41" s="329"/>
      <c r="U41" s="329"/>
      <c r="V41" s="331"/>
      <c r="W41" s="310"/>
      <c r="X41" s="178"/>
      <c r="Y41" s="444" t="s">
        <v>59</v>
      </c>
      <c r="Z41" s="104" t="s">
        <v>83</v>
      </c>
      <c r="AA41" s="104" t="s">
        <v>80</v>
      </c>
      <c r="AB41" s="117" t="s">
        <v>79</v>
      </c>
      <c r="AC41" s="141" t="s">
        <v>90</v>
      </c>
      <c r="AD41" s="102"/>
      <c r="AE41" s="138" t="s">
        <v>8</v>
      </c>
      <c r="AF41" s="108"/>
      <c r="AG41" s="341"/>
      <c r="AH41" s="341"/>
      <c r="AI41" s="331"/>
      <c r="AJ41" s="316"/>
      <c r="AK41" s="324"/>
      <c r="AL41" s="324"/>
      <c r="AM41" s="324"/>
      <c r="AN41" s="324"/>
      <c r="AO41" s="331"/>
      <c r="AP41" s="341"/>
      <c r="AQ41" s="329"/>
      <c r="AR41" s="352"/>
      <c r="AS41" s="352"/>
      <c r="AT41" s="352"/>
      <c r="AU41" s="352"/>
      <c r="AV41" s="331"/>
      <c r="AW41" s="331"/>
      <c r="AX41" s="341"/>
    </row>
    <row r="42" spans="1:50" s="329" customFormat="1">
      <c r="A42" s="28"/>
      <c r="B42" s="180"/>
      <c r="C42" s="186" t="s">
        <v>27</v>
      </c>
      <c r="D42" s="323">
        <v>1</v>
      </c>
      <c r="E42" s="467">
        <v>1.6059034452864893</v>
      </c>
      <c r="F42" s="111">
        <v>1.5197999999999998E-2</v>
      </c>
      <c r="G42" s="114">
        <v>0.8</v>
      </c>
      <c r="H42" s="23">
        <f t="shared" ref="H42:H50" si="156">(F42/10/2*(1+E42/100)^10)*100</f>
        <v>8.91139845094404E-2</v>
      </c>
      <c r="I42" s="140">
        <f t="shared" ref="I42:I48" si="157">((E42-$E$39)*G42-H42)/$E$38</f>
        <v>7.9946128152275031E-2</v>
      </c>
      <c r="J42" s="181">
        <v>2019</v>
      </c>
      <c r="K42" s="436">
        <v>0.29580000000000001</v>
      </c>
      <c r="L42" s="51"/>
      <c r="M42" s="323"/>
      <c r="N42" s="522" t="s">
        <v>27</v>
      </c>
      <c r="O42" s="618">
        <f>((E42-$F$3)-(Y42-$Z$3))/100</f>
        <v>-2.1162841400714006E-3</v>
      </c>
      <c r="P42" s="619">
        <f>O42/(Y42/100-$Z$3)</f>
        <v>-0.28473736124736027</v>
      </c>
      <c r="V42" s="331"/>
      <c r="W42" s="323"/>
      <c r="X42" s="186" t="s">
        <v>27</v>
      </c>
      <c r="Y42" s="467">
        <v>1.8200907643312103</v>
      </c>
      <c r="Z42" s="111">
        <v>1.5197999999999998E-2</v>
      </c>
      <c r="AA42" s="114">
        <v>0.8</v>
      </c>
      <c r="AB42" s="23">
        <f t="shared" ref="AB42:AB50" si="158">(Z42/10/2*(1+Y42/100)^10)*100</f>
        <v>9.1010446054228297E-2</v>
      </c>
      <c r="AC42" s="140">
        <f t="shared" ref="AC42:AC48" si="159">((Y42-$E$39)*AA42-AB42)/$E$38</f>
        <v>0.10508738194517735</v>
      </c>
      <c r="AD42" s="181">
        <v>2019</v>
      </c>
      <c r="AE42" s="436">
        <v>0.28999999999999998</v>
      </c>
      <c r="AF42" s="51"/>
      <c r="AG42" s="337"/>
      <c r="AH42" s="337"/>
      <c r="AI42" s="331"/>
      <c r="AJ42" s="316"/>
      <c r="AK42" s="324"/>
      <c r="AL42" s="324"/>
      <c r="AM42" s="324"/>
      <c r="AN42" s="324"/>
      <c r="AO42" s="331"/>
      <c r="AP42" s="337"/>
      <c r="AQ42" s="347"/>
      <c r="AR42" s="351"/>
      <c r="AS42" s="351"/>
      <c r="AT42" s="351"/>
      <c r="AU42" s="351"/>
      <c r="AV42" s="331"/>
      <c r="AW42" s="331"/>
      <c r="AX42" s="337"/>
    </row>
    <row r="43" spans="1:50" s="329" customFormat="1" ht="12.75" customHeight="1" thickBot="1">
      <c r="A43" s="77"/>
      <c r="B43" s="180"/>
      <c r="C43" s="186" t="s">
        <v>30</v>
      </c>
      <c r="D43" s="323">
        <v>2</v>
      </c>
      <c r="E43" s="468">
        <v>1.8550556745858533</v>
      </c>
      <c r="F43" s="112">
        <v>1.3547999999999999E-2</v>
      </c>
      <c r="G43" s="115">
        <v>0.8</v>
      </c>
      <c r="H43" s="23">
        <f t="shared" si="156"/>
        <v>8.1408752049595925E-2</v>
      </c>
      <c r="I43" s="140">
        <f t="shared" si="157"/>
        <v>0.11066205915454211</v>
      </c>
      <c r="J43" s="181" t="s">
        <v>263</v>
      </c>
      <c r="K43" s="470">
        <v>0.25</v>
      </c>
      <c r="L43" s="51"/>
      <c r="M43" s="323"/>
      <c r="N43" s="522" t="s">
        <v>30</v>
      </c>
      <c r="O43" s="618">
        <f t="shared" ref="O43:O50" si="160">((E43-$F$3)-(Y43-$Z$3))/100</f>
        <v>-2.3609465604535586E-3</v>
      </c>
      <c r="P43" s="619">
        <f t="shared" ref="P43:P50" si="161">O43/(Y43/100-$Z$3)</f>
        <v>-0.2321802740868808</v>
      </c>
      <c r="V43" s="331"/>
      <c r="W43" s="323"/>
      <c r="X43" s="186" t="s">
        <v>30</v>
      </c>
      <c r="Y43" s="468">
        <v>2.0937092356687903</v>
      </c>
      <c r="Z43" s="112">
        <v>1.3547999999999999E-2</v>
      </c>
      <c r="AA43" s="115">
        <v>0.8</v>
      </c>
      <c r="AB43" s="23">
        <f t="shared" si="158"/>
        <v>8.333645451628563E-2</v>
      </c>
      <c r="AC43" s="140">
        <f t="shared" si="159"/>
        <v>0.13870265980444965</v>
      </c>
      <c r="AD43" s="181" t="s">
        <v>263</v>
      </c>
      <c r="AE43" s="470">
        <v>0.25</v>
      </c>
      <c r="AF43" s="51"/>
      <c r="AG43" s="337"/>
      <c r="AH43" s="337"/>
      <c r="AI43" s="331"/>
      <c r="AJ43" s="353"/>
      <c r="AK43" s="324"/>
      <c r="AL43" s="324"/>
      <c r="AM43" s="324"/>
      <c r="AN43" s="324"/>
      <c r="AO43" s="331"/>
      <c r="AP43" s="337"/>
      <c r="AQ43" s="349"/>
      <c r="AR43" s="351"/>
      <c r="AS43" s="351"/>
      <c r="AT43" s="351"/>
      <c r="AU43" s="351"/>
      <c r="AV43" s="331"/>
      <c r="AW43" s="331"/>
      <c r="AX43" s="337"/>
    </row>
    <row r="44" spans="1:50" s="329" customFormat="1">
      <c r="A44" s="28"/>
      <c r="B44" s="180"/>
      <c r="C44" s="186" t="s">
        <v>29</v>
      </c>
      <c r="D44" s="323">
        <v>3</v>
      </c>
      <c r="E44" s="468">
        <v>2.1042079038852157</v>
      </c>
      <c r="F44" s="112">
        <v>1.3139999999999999E-2</v>
      </c>
      <c r="G44" s="115">
        <v>0.8</v>
      </c>
      <c r="H44" s="23">
        <f t="shared" si="156"/>
        <v>8.0909920590570408E-2</v>
      </c>
      <c r="I44" s="140">
        <f t="shared" si="157"/>
        <v>0.14030879966998169</v>
      </c>
      <c r="J44" s="7"/>
      <c r="K44" s="102"/>
      <c r="L44" s="49"/>
      <c r="M44" s="323"/>
      <c r="N44" s="522" t="s">
        <v>29</v>
      </c>
      <c r="O44" s="618">
        <f t="shared" si="160"/>
        <v>-2.6056089808357231E-3</v>
      </c>
      <c r="P44" s="619">
        <f t="shared" si="161"/>
        <v>-0.20191042175228086</v>
      </c>
      <c r="V44" s="331"/>
      <c r="W44" s="323"/>
      <c r="X44" s="186" t="s">
        <v>29</v>
      </c>
      <c r="Y44" s="468">
        <v>2.367327707006369</v>
      </c>
      <c r="Z44" s="112">
        <v>1.3139999999999999E-2</v>
      </c>
      <c r="AA44" s="115">
        <v>0.8</v>
      </c>
      <c r="AB44" s="23">
        <f t="shared" si="158"/>
        <v>8.3019293195995977E-2</v>
      </c>
      <c r="AC44" s="140">
        <f t="shared" si="159"/>
        <v>0.1712264284788978</v>
      </c>
      <c r="AD44" s="181"/>
      <c r="AE44" s="102"/>
      <c r="AF44" s="49"/>
      <c r="AG44" s="337"/>
      <c r="AH44" s="337"/>
      <c r="AI44" s="331"/>
      <c r="AJ44" s="353"/>
      <c r="AK44" s="324"/>
      <c r="AL44" s="324"/>
      <c r="AM44" s="324"/>
      <c r="AN44" s="324"/>
      <c r="AO44" s="331"/>
      <c r="AP44" s="337"/>
      <c r="AQ44" s="349"/>
      <c r="AR44" s="351"/>
      <c r="AS44" s="351"/>
      <c r="AT44" s="351"/>
      <c r="AU44" s="351"/>
      <c r="AV44" s="331"/>
      <c r="AW44" s="331"/>
      <c r="AX44" s="337"/>
    </row>
    <row r="45" spans="1:50">
      <c r="A45" s="144"/>
      <c r="B45" s="180"/>
      <c r="C45" s="186" t="s">
        <v>28</v>
      </c>
      <c r="D45" s="323">
        <v>4</v>
      </c>
      <c r="E45" s="468">
        <v>2.3818830631208843</v>
      </c>
      <c r="F45" s="112">
        <v>2.0621999999999998E-2</v>
      </c>
      <c r="G45" s="115">
        <v>0.8</v>
      </c>
      <c r="H45" s="23">
        <f t="shared" si="156"/>
        <v>0.1304763855903848</v>
      </c>
      <c r="I45" s="140">
        <f t="shared" si="157"/>
        <v>0.16591299767145365</v>
      </c>
      <c r="J45" s="7"/>
      <c r="K45" s="102"/>
      <c r="L45" s="103"/>
      <c r="M45" s="323"/>
      <c r="N45" s="522" t="s">
        <v>28</v>
      </c>
      <c r="O45" s="618">
        <f t="shared" si="160"/>
        <v>-3.0261503821096356E-3</v>
      </c>
      <c r="P45" s="619">
        <f t="shared" si="161"/>
        <v>-0.18793548718513944</v>
      </c>
      <c r="Q45" s="329"/>
      <c r="R45" s="329"/>
      <c r="S45" s="329"/>
      <c r="T45" s="329"/>
      <c r="U45" s="329"/>
      <c r="W45" s="323"/>
      <c r="X45" s="186" t="s">
        <v>28</v>
      </c>
      <c r="Y45" s="468">
        <v>2.6870570063694288</v>
      </c>
      <c r="Z45" s="112">
        <v>2.0621999999999998E-2</v>
      </c>
      <c r="AA45" s="115">
        <v>0.8</v>
      </c>
      <c r="AB45" s="23">
        <f t="shared" si="158"/>
        <v>0.1344181330552971</v>
      </c>
      <c r="AC45" s="140">
        <f t="shared" si="159"/>
        <v>0.2015503126972204</v>
      </c>
      <c r="AD45" s="7"/>
      <c r="AE45" s="102"/>
      <c r="AF45" s="103"/>
      <c r="AI45" s="331"/>
      <c r="AJ45" s="356"/>
      <c r="AK45" s="356"/>
      <c r="AQ45" s="354"/>
      <c r="AR45" s="349"/>
      <c r="AS45" s="355"/>
      <c r="AT45" s="349"/>
      <c r="AU45" s="349"/>
    </row>
    <row r="46" spans="1:50">
      <c r="A46" s="144"/>
      <c r="B46" s="180"/>
      <c r="C46" s="186" t="s">
        <v>41</v>
      </c>
      <c r="D46" s="323">
        <v>5</v>
      </c>
      <c r="E46" s="468">
        <v>2.6595582223565528</v>
      </c>
      <c r="F46" s="112">
        <v>3.0329999999999996E-2</v>
      </c>
      <c r="G46" s="115">
        <v>0.8</v>
      </c>
      <c r="H46" s="23">
        <f t="shared" si="156"/>
        <v>0.19716795173378932</v>
      </c>
      <c r="I46" s="140">
        <f t="shared" si="157"/>
        <v>0.18897639961861196</v>
      </c>
      <c r="J46" s="7"/>
      <c r="K46" s="102"/>
      <c r="L46" s="102"/>
      <c r="M46" s="323"/>
      <c r="N46" s="522" t="s">
        <v>41</v>
      </c>
      <c r="O46" s="618">
        <f t="shared" si="160"/>
        <v>-3.4466917833835221E-3</v>
      </c>
      <c r="P46" s="619">
        <f t="shared" si="161"/>
        <v>-0.1785909603931394</v>
      </c>
      <c r="Q46" s="329"/>
      <c r="R46" s="329"/>
      <c r="S46" s="329"/>
      <c r="T46" s="329"/>
      <c r="U46" s="329"/>
      <c r="W46" s="323"/>
      <c r="X46" s="186" t="s">
        <v>41</v>
      </c>
      <c r="Y46" s="468">
        <v>3.006786305732486</v>
      </c>
      <c r="Z46" s="112">
        <v>3.0329999999999996E-2</v>
      </c>
      <c r="AA46" s="115">
        <v>0.8</v>
      </c>
      <c r="AB46" s="23">
        <f t="shared" si="158"/>
        <v>0.20393923860040436</v>
      </c>
      <c r="AC46" s="140">
        <f t="shared" si="159"/>
        <v>0.2291854547724369</v>
      </c>
      <c r="AD46" s="7"/>
      <c r="AE46" s="102"/>
      <c r="AF46" s="102"/>
      <c r="AI46" s="331"/>
      <c r="AJ46" s="356"/>
      <c r="AK46" s="356"/>
      <c r="AQ46" s="354"/>
      <c r="AR46" s="349"/>
      <c r="AS46" s="349"/>
      <c r="AT46" s="349"/>
      <c r="AU46" s="349"/>
    </row>
    <row r="47" spans="1:50">
      <c r="A47" s="144"/>
      <c r="B47" s="180"/>
      <c r="C47" s="187" t="s">
        <v>35</v>
      </c>
      <c r="D47" s="323">
        <v>6</v>
      </c>
      <c r="E47" s="469">
        <v>2.9849149102546431</v>
      </c>
      <c r="F47" s="184">
        <v>5.9477999999999996E-2</v>
      </c>
      <c r="G47" s="185">
        <v>0.8</v>
      </c>
      <c r="H47" s="182">
        <f t="shared" si="156"/>
        <v>0.39908233622279909</v>
      </c>
      <c r="I47" s="183">
        <f t="shared" si="157"/>
        <v>0.1976367116612936</v>
      </c>
      <c r="J47" s="7"/>
      <c r="K47" s="102"/>
      <c r="L47" s="119"/>
      <c r="M47" s="323"/>
      <c r="N47" s="522" t="s">
        <v>35</v>
      </c>
      <c r="O47" s="618">
        <f t="shared" si="160"/>
        <v>-3.897392420326171E-3</v>
      </c>
      <c r="P47" s="619">
        <f t="shared" si="161"/>
        <v>-0.16942510043864822</v>
      </c>
      <c r="Q47" s="329"/>
      <c r="R47" s="329"/>
      <c r="S47" s="329"/>
      <c r="T47" s="329"/>
      <c r="U47" s="329"/>
      <c r="W47" s="323"/>
      <c r="X47" s="187" t="s">
        <v>35</v>
      </c>
      <c r="Y47" s="469">
        <v>3.3772130573248411</v>
      </c>
      <c r="Z47" s="184">
        <v>5.9477999999999996E-2</v>
      </c>
      <c r="AA47" s="185">
        <v>0.8</v>
      </c>
      <c r="AB47" s="182">
        <f t="shared" si="158"/>
        <v>0.41454774731320498</v>
      </c>
      <c r="AC47" s="183">
        <f t="shared" si="159"/>
        <v>0.24190536768376178</v>
      </c>
      <c r="AD47" s="7"/>
      <c r="AE47" s="102"/>
      <c r="AF47" s="119"/>
      <c r="AI47" s="331"/>
      <c r="AJ47" s="356"/>
      <c r="AK47" s="356"/>
      <c r="AQ47" s="354"/>
      <c r="AR47" s="357"/>
      <c r="AS47" s="357"/>
      <c r="AT47" s="357"/>
      <c r="AU47" s="357"/>
    </row>
    <row r="48" spans="1:50">
      <c r="A48" s="144"/>
      <c r="B48" s="180"/>
      <c r="C48" s="186" t="s">
        <v>100</v>
      </c>
      <c r="D48" s="323">
        <v>7</v>
      </c>
      <c r="E48" s="468">
        <v>3.3102715981527329</v>
      </c>
      <c r="F48" s="112">
        <v>7.2564000000000003E-2</v>
      </c>
      <c r="G48" s="115">
        <v>0.8</v>
      </c>
      <c r="H48" s="23">
        <f t="shared" si="156"/>
        <v>0.50248864458636389</v>
      </c>
      <c r="I48" s="140">
        <f t="shared" si="157"/>
        <v>0.22091234942024054</v>
      </c>
      <c r="J48" s="7"/>
      <c r="K48" s="102"/>
      <c r="L48" s="119"/>
      <c r="M48" s="323"/>
      <c r="N48" s="522" t="s">
        <v>100</v>
      </c>
      <c r="O48" s="618">
        <f t="shared" si="160"/>
        <v>-4.3480930572688606E-3</v>
      </c>
      <c r="P48" s="619">
        <f t="shared" si="161"/>
        <v>-0.16280176907787733</v>
      </c>
      <c r="Q48" s="329"/>
      <c r="R48" s="329"/>
      <c r="S48" s="329"/>
      <c r="T48" s="329"/>
      <c r="U48" s="329"/>
      <c r="W48" s="323"/>
      <c r="X48" s="186" t="s">
        <v>100</v>
      </c>
      <c r="Y48" s="468">
        <v>3.7476398089171998</v>
      </c>
      <c r="Z48" s="112">
        <v>7.2564000000000003E-2</v>
      </c>
      <c r="AA48" s="115">
        <v>0.8</v>
      </c>
      <c r="AB48" s="23">
        <f t="shared" si="158"/>
        <v>0.52417158544308118</v>
      </c>
      <c r="AC48" s="140">
        <f t="shared" si="159"/>
        <v>0.26960805064776472</v>
      </c>
      <c r="AD48" s="7"/>
      <c r="AE48" s="102"/>
      <c r="AF48" s="119"/>
      <c r="AI48" s="331"/>
      <c r="AJ48" s="356"/>
      <c r="AK48" s="356"/>
      <c r="AQ48" s="354"/>
      <c r="AR48" s="358"/>
      <c r="AS48" s="358"/>
      <c r="AT48" s="358"/>
      <c r="AU48" s="358"/>
    </row>
    <row r="49" spans="1:50">
      <c r="A49" s="144"/>
      <c r="B49" s="180"/>
      <c r="C49" s="188" t="s">
        <v>82</v>
      </c>
      <c r="D49" s="323">
        <v>8</v>
      </c>
      <c r="E49" s="468">
        <v>4.3933623624839431</v>
      </c>
      <c r="F49" s="112">
        <v>0.166245</v>
      </c>
      <c r="G49" s="115">
        <v>0.8</v>
      </c>
      <c r="H49" s="23">
        <f t="shared" si="156"/>
        <v>1.2777546050698454</v>
      </c>
      <c r="I49" s="176">
        <f>AVERAGE(I48,I50)</f>
        <v>0.25752820248452246</v>
      </c>
      <c r="J49" s="7"/>
      <c r="K49" s="102"/>
      <c r="L49" s="119"/>
      <c r="M49" s="323"/>
      <c r="N49" s="523" t="s">
        <v>82</v>
      </c>
      <c r="O49" s="618">
        <f t="shared" si="160"/>
        <v>-3.9363096177784038E-3</v>
      </c>
      <c r="P49" s="619">
        <f t="shared" si="161"/>
        <v>-0.10602276656378222</v>
      </c>
      <c r="Q49" s="329"/>
      <c r="R49" s="329"/>
      <c r="S49" s="329"/>
      <c r="T49" s="329"/>
      <c r="U49" s="329"/>
      <c r="W49" s="323"/>
      <c r="X49" s="188" t="s">
        <v>82</v>
      </c>
      <c r="Y49" s="468">
        <v>4.7895522292993649</v>
      </c>
      <c r="Z49" s="112">
        <v>0.166245</v>
      </c>
      <c r="AA49" s="115">
        <v>0.8</v>
      </c>
      <c r="AB49" s="23">
        <f t="shared" si="158"/>
        <v>1.3270840901486651</v>
      </c>
      <c r="AC49" s="176">
        <f>AVERAGE(AC48,AC50)</f>
        <v>0.29852920681269124</v>
      </c>
      <c r="AD49" s="7"/>
      <c r="AE49" s="102"/>
      <c r="AF49" s="119"/>
      <c r="AI49" s="331"/>
      <c r="AQ49" s="359"/>
      <c r="AR49" s="358"/>
      <c r="AS49" s="358"/>
      <c r="AT49" s="358"/>
      <c r="AU49" s="358"/>
    </row>
    <row r="50" spans="1:50">
      <c r="A50" s="144"/>
      <c r="B50" s="180"/>
      <c r="C50" s="188" t="s">
        <v>36</v>
      </c>
      <c r="D50" s="323">
        <v>9</v>
      </c>
      <c r="E50" s="468">
        <v>5.4764531268151515</v>
      </c>
      <c r="F50" s="112">
        <v>0.204402</v>
      </c>
      <c r="G50" s="115">
        <v>0.8</v>
      </c>
      <c r="H50" s="23">
        <f t="shared" si="156"/>
        <v>1.7418482559359547</v>
      </c>
      <c r="I50" s="140">
        <f>((E50-$E$39)*G50-H50)/$E$38</f>
        <v>0.29414405554880441</v>
      </c>
      <c r="J50" s="7"/>
      <c r="K50" s="102"/>
      <c r="L50" s="109"/>
      <c r="M50" s="323"/>
      <c r="N50" s="523" t="s">
        <v>36</v>
      </c>
      <c r="O50" s="618">
        <f t="shared" si="160"/>
        <v>-3.5245261782879478E-3</v>
      </c>
      <c r="P50" s="619">
        <f t="shared" si="161"/>
        <v>-7.4128534865050041E-2</v>
      </c>
      <c r="Q50" s="329"/>
      <c r="R50" s="329"/>
      <c r="S50" s="329"/>
      <c r="T50" s="329"/>
      <c r="U50" s="329"/>
      <c r="W50" s="323"/>
      <c r="X50" s="188" t="s">
        <v>36</v>
      </c>
      <c r="Y50" s="468">
        <v>5.8314646496815277</v>
      </c>
      <c r="Z50" s="112">
        <v>0.204402</v>
      </c>
      <c r="AA50" s="115">
        <v>0.8</v>
      </c>
      <c r="AB50" s="23">
        <f t="shared" si="158"/>
        <v>1.8013711828285386</v>
      </c>
      <c r="AC50" s="140">
        <f>((Y50-$E$39)*AA50-AB50)/$E$38</f>
        <v>0.3274503629776177</v>
      </c>
      <c r="AD50" s="7"/>
      <c r="AE50" s="102"/>
      <c r="AF50" s="109"/>
      <c r="AI50" s="331"/>
      <c r="AQ50" s="360"/>
      <c r="AR50" s="361"/>
      <c r="AS50" s="361"/>
      <c r="AT50" s="361"/>
      <c r="AU50" s="361"/>
    </row>
    <row r="51" spans="1:50">
      <c r="A51" s="144"/>
      <c r="B51" s="180"/>
      <c r="C51" s="188"/>
      <c r="D51" s="323">
        <v>10</v>
      </c>
      <c r="E51" s="468"/>
      <c r="F51" s="112"/>
      <c r="G51" s="115"/>
      <c r="H51" s="8"/>
      <c r="I51" s="23"/>
      <c r="J51" s="7"/>
      <c r="K51" s="102"/>
      <c r="L51" s="109"/>
      <c r="M51" s="323"/>
      <c r="N51" s="523"/>
      <c r="O51" s="521"/>
      <c r="P51" s="521"/>
      <c r="Q51" s="329"/>
      <c r="R51" s="329"/>
      <c r="S51" s="329"/>
      <c r="T51" s="329"/>
      <c r="U51" s="329"/>
      <c r="W51" s="323"/>
      <c r="X51" s="188"/>
      <c r="Y51" s="468"/>
      <c r="Z51" s="112"/>
      <c r="AA51" s="115"/>
      <c r="AB51" s="8"/>
      <c r="AC51" s="23"/>
      <c r="AD51" s="7"/>
      <c r="AE51" s="102"/>
      <c r="AF51" s="109"/>
      <c r="AI51" s="331"/>
      <c r="AQ51" s="349"/>
      <c r="AR51" s="361"/>
      <c r="AS51" s="361"/>
      <c r="AT51" s="361"/>
      <c r="AU51" s="361"/>
    </row>
    <row r="52" spans="1:50" ht="13.8" thickBot="1">
      <c r="A52" s="144"/>
      <c r="B52" s="180"/>
      <c r="C52" s="189"/>
      <c r="D52" s="323">
        <v>11</v>
      </c>
      <c r="E52" s="445"/>
      <c r="F52" s="113"/>
      <c r="G52" s="116"/>
      <c r="H52" s="8"/>
      <c r="I52" s="23"/>
      <c r="J52" s="7"/>
      <c r="K52" s="102"/>
      <c r="L52" s="109"/>
      <c r="M52" s="323"/>
      <c r="N52" s="523"/>
      <c r="O52" s="521"/>
      <c r="P52" s="521"/>
      <c r="Q52" s="329"/>
      <c r="R52" s="329"/>
      <c r="S52" s="329"/>
      <c r="T52" s="329"/>
      <c r="U52" s="329"/>
      <c r="W52" s="323"/>
      <c r="X52" s="189"/>
      <c r="Y52" s="445"/>
      <c r="Z52" s="113"/>
      <c r="AA52" s="116"/>
      <c r="AB52" s="8"/>
      <c r="AC52" s="23"/>
      <c r="AD52" s="7"/>
      <c r="AE52" s="102"/>
      <c r="AF52" s="109"/>
      <c r="AI52" s="331"/>
      <c r="AQ52" s="357"/>
      <c r="AR52" s="361"/>
      <c r="AS52" s="361"/>
      <c r="AT52" s="361"/>
      <c r="AU52" s="361"/>
    </row>
    <row r="53" spans="1:50" ht="13.8" thickBot="1">
      <c r="A53" s="144"/>
      <c r="B53" s="153"/>
      <c r="C53" s="21"/>
      <c r="D53" s="324"/>
      <c r="E53" s="21"/>
      <c r="F53" s="21"/>
      <c r="G53" s="21"/>
      <c r="H53" s="102"/>
      <c r="I53" s="50"/>
      <c r="J53" s="50"/>
      <c r="K53" s="50"/>
      <c r="L53" s="109"/>
      <c r="M53" s="324"/>
      <c r="N53" s="330"/>
      <c r="O53" s="329"/>
      <c r="P53" s="329"/>
      <c r="Q53" s="329"/>
      <c r="R53" s="329"/>
      <c r="S53" s="329"/>
      <c r="T53" s="329"/>
      <c r="U53" s="329"/>
      <c r="W53" s="324"/>
      <c r="X53" s="21"/>
      <c r="Y53" s="21"/>
      <c r="Z53" s="21"/>
      <c r="AA53" s="21"/>
      <c r="AB53" s="102"/>
      <c r="AC53" s="50"/>
      <c r="AD53" s="50"/>
      <c r="AE53" s="50"/>
      <c r="AF53" s="109"/>
      <c r="AI53" s="331"/>
      <c r="AQ53" s="362"/>
      <c r="AR53" s="361"/>
      <c r="AT53" s="361"/>
      <c r="AU53" s="358"/>
    </row>
    <row r="54" spans="1:50">
      <c r="A54" s="144"/>
      <c r="B54" s="154" t="s">
        <v>96</v>
      </c>
      <c r="C54" s="130" t="s">
        <v>42</v>
      </c>
      <c r="E54" s="446">
        <v>0.40829845700533851</v>
      </c>
      <c r="F54" s="79">
        <v>0.46457338169575724</v>
      </c>
      <c r="G54" s="122">
        <v>0.46457338169575724</v>
      </c>
      <c r="H54" s="78">
        <v>0.42492620770981193</v>
      </c>
      <c r="I54" s="118">
        <v>0.45857090723353977</v>
      </c>
      <c r="J54" s="78">
        <v>0.32904404996782249</v>
      </c>
      <c r="K54" s="131">
        <v>0.31953636300369737</v>
      </c>
      <c r="L54" s="110"/>
      <c r="N54" s="330"/>
      <c r="O54" s="329"/>
      <c r="P54" s="329"/>
      <c r="Q54" s="329"/>
      <c r="R54" s="329"/>
      <c r="S54" s="329"/>
      <c r="T54" s="329"/>
      <c r="U54" s="329"/>
      <c r="X54" s="130" t="s">
        <v>42</v>
      </c>
      <c r="Y54" s="446">
        <v>0.35</v>
      </c>
      <c r="Z54" s="79">
        <v>0.39</v>
      </c>
      <c r="AA54" s="122">
        <v>0.39</v>
      </c>
      <c r="AB54" s="78">
        <v>0.35</v>
      </c>
      <c r="AC54" s="118">
        <v>0.37</v>
      </c>
      <c r="AD54" s="78">
        <v>0.28999999999999998</v>
      </c>
      <c r="AE54" s="131">
        <v>0.28999999999999998</v>
      </c>
      <c r="AF54" s="110"/>
      <c r="AI54" s="331"/>
      <c r="AJ54" s="363"/>
      <c r="AK54" s="330"/>
      <c r="AQ54" s="358"/>
      <c r="AR54" s="361"/>
      <c r="AT54" s="361"/>
      <c r="AU54" s="358"/>
    </row>
    <row r="55" spans="1:50" ht="13.8" thickBot="1">
      <c r="A55" s="144"/>
      <c r="B55" s="7"/>
      <c r="C55" s="130" t="s">
        <v>46</v>
      </c>
      <c r="E55" s="447" t="s">
        <v>29</v>
      </c>
      <c r="F55" s="172" t="s">
        <v>29</v>
      </c>
      <c r="G55" s="173" t="s">
        <v>41</v>
      </c>
      <c r="H55" s="174" t="s">
        <v>41</v>
      </c>
      <c r="I55" s="172" t="s">
        <v>41</v>
      </c>
      <c r="J55" s="174" t="s">
        <v>28</v>
      </c>
      <c r="K55" s="175" t="s">
        <v>35</v>
      </c>
      <c r="L55" s="50"/>
      <c r="N55" s="330"/>
      <c r="O55" s="329"/>
      <c r="P55" s="329"/>
      <c r="Q55" s="329"/>
      <c r="R55" s="329"/>
      <c r="S55" s="329"/>
      <c r="T55" s="329"/>
      <c r="U55" s="329"/>
      <c r="X55" s="130" t="s">
        <v>46</v>
      </c>
      <c r="Y55" s="447" t="s">
        <v>29</v>
      </c>
      <c r="Z55" s="172" t="s">
        <v>29</v>
      </c>
      <c r="AA55" s="173" t="s">
        <v>41</v>
      </c>
      <c r="AB55" s="174" t="s">
        <v>41</v>
      </c>
      <c r="AC55" s="172" t="s">
        <v>28</v>
      </c>
      <c r="AD55" s="174" t="s">
        <v>28</v>
      </c>
      <c r="AE55" s="175" t="s">
        <v>35</v>
      </c>
      <c r="AF55" s="50"/>
      <c r="AI55" s="331"/>
      <c r="AJ55" s="363"/>
      <c r="AK55" s="330"/>
      <c r="AQ55" s="357"/>
      <c r="AR55" s="361"/>
      <c r="AT55" s="361"/>
      <c r="AU55" s="358"/>
    </row>
    <row r="56" spans="1:50" ht="13.8" thickBot="1">
      <c r="A56" s="144"/>
      <c r="B56" s="61"/>
      <c r="C56" s="22"/>
      <c r="E56" s="22"/>
      <c r="F56" s="12"/>
      <c r="G56" s="22"/>
      <c r="H56" s="12"/>
      <c r="I56" s="12"/>
      <c r="J56" s="22"/>
      <c r="K56" s="12"/>
      <c r="L56" s="22"/>
      <c r="N56" s="330"/>
      <c r="O56" s="329"/>
      <c r="P56" s="329"/>
      <c r="Q56" s="329"/>
      <c r="R56" s="329"/>
      <c r="S56" s="329"/>
      <c r="T56" s="329"/>
      <c r="U56" s="329"/>
      <c r="X56" s="22"/>
      <c r="Y56" s="22"/>
      <c r="Z56" s="12"/>
      <c r="AA56" s="22"/>
      <c r="AB56" s="12"/>
      <c r="AC56" s="12"/>
      <c r="AD56" s="22"/>
      <c r="AE56" s="12"/>
      <c r="AF56" s="22"/>
      <c r="AI56" s="331"/>
      <c r="AJ56" s="363"/>
      <c r="AK56" s="330"/>
      <c r="AL56" s="358"/>
      <c r="AM56" s="358"/>
      <c r="AQ56" s="364"/>
      <c r="AR56" s="362"/>
      <c r="AT56" s="362"/>
    </row>
    <row r="57" spans="1:50" ht="13.8" thickBot="1">
      <c r="A57" s="144"/>
      <c r="B57" s="154" t="s">
        <v>98</v>
      </c>
      <c r="C57" s="130" t="s">
        <v>9</v>
      </c>
      <c r="E57" s="448">
        <v>0.75</v>
      </c>
      <c r="F57" s="127">
        <v>0.71337755526539992</v>
      </c>
      <c r="G57" s="139">
        <v>0.9</v>
      </c>
      <c r="H57" s="128">
        <v>0.75</v>
      </c>
      <c r="I57" s="127">
        <v>0.73239920686046522</v>
      </c>
      <c r="J57" s="128">
        <v>0.8</v>
      </c>
      <c r="K57" s="129">
        <v>0.80580412111106092</v>
      </c>
      <c r="L57" s="22"/>
      <c r="N57" s="330"/>
      <c r="O57" s="329"/>
      <c r="P57" s="329"/>
      <c r="Q57" s="329"/>
      <c r="R57" s="329"/>
      <c r="S57" s="329"/>
      <c r="T57" s="329"/>
      <c r="U57" s="329"/>
      <c r="X57" s="130" t="s">
        <v>9</v>
      </c>
      <c r="Y57" s="448">
        <v>0.75</v>
      </c>
      <c r="Z57" s="127">
        <v>0.75</v>
      </c>
      <c r="AA57" s="139">
        <v>0.9</v>
      </c>
      <c r="AB57" s="128">
        <v>0.75</v>
      </c>
      <c r="AC57" s="127">
        <v>0.75</v>
      </c>
      <c r="AD57" s="128">
        <v>0.75</v>
      </c>
      <c r="AE57" s="129">
        <v>0.75</v>
      </c>
      <c r="AF57" s="22"/>
      <c r="AI57" s="331"/>
      <c r="AJ57" s="363"/>
      <c r="AK57" s="330"/>
      <c r="AQ57" s="357"/>
      <c r="AR57" s="362"/>
      <c r="AT57" s="362"/>
    </row>
    <row r="58" spans="1:50">
      <c r="A58" s="144"/>
      <c r="B58" s="153"/>
      <c r="C58" s="21"/>
      <c r="E58" s="22"/>
      <c r="F58" s="22"/>
      <c r="G58" s="22"/>
      <c r="H58" s="22"/>
      <c r="I58" s="22"/>
      <c r="J58" s="22"/>
      <c r="K58" s="22"/>
      <c r="L58" s="22"/>
      <c r="N58" s="330"/>
      <c r="O58" s="329"/>
      <c r="P58" s="329"/>
      <c r="Q58" s="329"/>
      <c r="R58" s="329"/>
      <c r="S58" s="329"/>
      <c r="T58" s="329"/>
      <c r="U58" s="329"/>
      <c r="X58" s="21"/>
      <c r="Y58" s="22"/>
      <c r="Z58" s="22"/>
      <c r="AA58" s="22"/>
      <c r="AB58" s="22"/>
      <c r="AC58" s="22"/>
      <c r="AD58" s="22"/>
      <c r="AE58" s="22"/>
      <c r="AF58" s="22"/>
      <c r="AG58" s="345"/>
      <c r="AH58" s="345"/>
      <c r="AI58" s="331"/>
      <c r="AJ58" s="363"/>
      <c r="AK58" s="330"/>
      <c r="AP58" s="345"/>
      <c r="AQ58" s="345"/>
      <c r="AR58" s="362"/>
      <c r="AT58" s="362"/>
      <c r="AX58" s="345"/>
    </row>
    <row r="59" spans="1:50">
      <c r="B59" s="368"/>
      <c r="C59" s="366"/>
      <c r="D59" s="325"/>
      <c r="E59" s="366"/>
      <c r="F59" s="366"/>
      <c r="G59" s="366"/>
      <c r="H59" s="366"/>
      <c r="I59" s="366"/>
      <c r="J59" s="366"/>
      <c r="K59" s="369"/>
      <c r="L59" s="337"/>
      <c r="M59" s="325"/>
      <c r="O59" s="366"/>
      <c r="P59" s="366"/>
      <c r="Q59" s="366"/>
      <c r="R59" s="366"/>
      <c r="S59" s="366"/>
      <c r="T59" s="366"/>
      <c r="U59" s="369"/>
      <c r="W59" s="325"/>
      <c r="X59" s="366"/>
      <c r="Y59" s="366"/>
      <c r="Z59" s="366"/>
      <c r="AA59" s="366"/>
      <c r="AB59" s="366"/>
      <c r="AC59" s="366"/>
      <c r="AD59" s="366"/>
      <c r="AE59" s="369"/>
      <c r="AF59" s="337"/>
      <c r="AI59" s="331"/>
      <c r="AQ59" s="362"/>
      <c r="AR59" s="362"/>
      <c r="AT59" s="362"/>
      <c r="AU59" s="365"/>
    </row>
    <row r="60" spans="1:50">
      <c r="B60" s="557" t="s">
        <v>308</v>
      </c>
      <c r="C60" s="527"/>
      <c r="D60" s="315"/>
      <c r="E60" s="525">
        <f>E27-E28</f>
        <v>0</v>
      </c>
      <c r="F60" s="590">
        <f t="shared" ref="F60:K60" si="162">F27-F28</f>
        <v>0</v>
      </c>
      <c r="G60" s="590">
        <f t="shared" si="162"/>
        <v>0</v>
      </c>
      <c r="H60" s="525">
        <f t="shared" si="162"/>
        <v>0</v>
      </c>
      <c r="I60" s="590">
        <f t="shared" si="162"/>
        <v>0</v>
      </c>
      <c r="J60" s="525">
        <f t="shared" si="162"/>
        <v>0</v>
      </c>
      <c r="K60" s="590">
        <f t="shared" si="162"/>
        <v>0</v>
      </c>
      <c r="L60" s="11"/>
      <c r="AI60" s="331"/>
      <c r="AQ60" s="362"/>
      <c r="AR60" s="362"/>
      <c r="AT60" s="362"/>
      <c r="AU60" s="365"/>
    </row>
    <row r="61" spans="1:50">
      <c r="B61" s="526"/>
      <c r="C61" s="527"/>
      <c r="D61" s="315"/>
      <c r="E61" s="525"/>
      <c r="F61" s="525"/>
      <c r="G61" s="525"/>
      <c r="H61" s="525"/>
      <c r="I61" s="525"/>
      <c r="J61" s="525"/>
      <c r="K61" s="525"/>
      <c r="L61" s="11"/>
      <c r="AI61" s="331"/>
      <c r="AQ61" s="362"/>
      <c r="AR61" s="362"/>
      <c r="AT61" s="362"/>
      <c r="AU61" s="365"/>
    </row>
    <row r="62" spans="1:50">
      <c r="B62" s="526" t="s">
        <v>303</v>
      </c>
      <c r="C62" s="527"/>
      <c r="D62" s="315"/>
      <c r="E62" s="529">
        <f>(1-E9)/(1-$F$7)</f>
        <v>0.84024643992425663</v>
      </c>
      <c r="F62" s="530">
        <f t="shared" ref="F62:K62" si="163">(1-F9)/(1-$F$7)</f>
        <v>0.76033316998614431</v>
      </c>
      <c r="G62" s="530">
        <f t="shared" si="163"/>
        <v>0.76033316998614431</v>
      </c>
      <c r="H62" s="529">
        <f t="shared" si="163"/>
        <v>0.81663418388268694</v>
      </c>
      <c r="I62" s="530">
        <f t="shared" si="163"/>
        <v>0.76885699058003443</v>
      </c>
      <c r="J62" s="529">
        <f t="shared" si="163"/>
        <v>0.95279174954867596</v>
      </c>
      <c r="K62" s="530">
        <f t="shared" si="163"/>
        <v>0.96629315108818903</v>
      </c>
      <c r="L62" s="527"/>
      <c r="AI62" s="331"/>
      <c r="AQ62" s="362"/>
      <c r="AR62" s="362"/>
      <c r="AT62" s="362"/>
      <c r="AU62" s="365"/>
    </row>
    <row r="63" spans="1:50">
      <c r="B63" s="526" t="s">
        <v>301</v>
      </c>
      <c r="C63" s="527"/>
      <c r="D63" s="315"/>
      <c r="E63" s="529">
        <f>E62+E9</f>
        <v>1.2485448969295951</v>
      </c>
      <c r="F63" s="530">
        <f t="shared" ref="F63:K63" si="164">F62+F9</f>
        <v>1.2249065516819015</v>
      </c>
      <c r="G63" s="530">
        <f t="shared" si="164"/>
        <v>1.2249065516819015</v>
      </c>
      <c r="H63" s="529">
        <f t="shared" si="164"/>
        <v>1.2415603915924989</v>
      </c>
      <c r="I63" s="530">
        <f t="shared" si="164"/>
        <v>1.2274278978135742</v>
      </c>
      <c r="J63" s="529">
        <f t="shared" si="164"/>
        <v>1.2818357995164984</v>
      </c>
      <c r="K63" s="530">
        <f t="shared" si="164"/>
        <v>1.2858295140918865</v>
      </c>
      <c r="L63" s="527"/>
      <c r="AI63" s="331"/>
      <c r="AQ63" s="362"/>
      <c r="AR63" s="366"/>
      <c r="AS63" s="366"/>
      <c r="AT63" s="366"/>
      <c r="AU63" s="366"/>
    </row>
    <row r="64" spans="1:50">
      <c r="B64" s="526" t="s">
        <v>302</v>
      </c>
      <c r="C64" s="527"/>
      <c r="D64" s="315"/>
      <c r="E64" s="529">
        <f>E62*E22</f>
        <v>0.87912080628767164</v>
      </c>
      <c r="F64" s="530">
        <f t="shared" ref="F64:K64" si="165">F62*F22</f>
        <v>0.8086371077230502</v>
      </c>
      <c r="G64" s="530">
        <f t="shared" si="165"/>
        <v>1.0146224914822042</v>
      </c>
      <c r="H64" s="529">
        <f t="shared" si="165"/>
        <v>0.85086926885778336</v>
      </c>
      <c r="I64" s="530">
        <f t="shared" si="165"/>
        <v>0.81230813981823502</v>
      </c>
      <c r="J64" s="529">
        <f t="shared" si="165"/>
        <v>0.9708759549170819</v>
      </c>
      <c r="K64" s="530">
        <f t="shared" si="165"/>
        <v>0.97297460546121473</v>
      </c>
      <c r="L64" s="527"/>
      <c r="AI64" s="331"/>
      <c r="AQ64" s="362"/>
    </row>
    <row r="65" spans="1:50">
      <c r="B65" s="526"/>
      <c r="C65" s="527"/>
      <c r="D65" s="315"/>
      <c r="E65" s="529"/>
      <c r="F65" s="530"/>
      <c r="G65" s="530"/>
      <c r="H65" s="529"/>
      <c r="I65" s="530"/>
      <c r="J65" s="529"/>
      <c r="K65" s="530"/>
      <c r="L65" s="528"/>
      <c r="AF65" s="371"/>
      <c r="AI65" s="331"/>
    </row>
    <row r="66" spans="1:50">
      <c r="B66" s="526" t="s">
        <v>305</v>
      </c>
      <c r="C66" s="527"/>
      <c r="D66" s="315"/>
      <c r="E66" s="529"/>
      <c r="F66" s="530">
        <f>1/(1-F7)</f>
        <v>1.4200511218403864</v>
      </c>
      <c r="G66" s="530"/>
      <c r="H66" s="529"/>
      <c r="I66" s="530"/>
      <c r="J66" s="529"/>
      <c r="K66" s="530"/>
      <c r="L66" s="527"/>
      <c r="AI66" s="331"/>
    </row>
    <row r="67" spans="1:50">
      <c r="B67" s="526" t="s">
        <v>306</v>
      </c>
      <c r="C67" s="527"/>
      <c r="D67" s="315"/>
      <c r="E67" s="533">
        <f>$F$66*E25</f>
        <v>0.11179841547152131</v>
      </c>
      <c r="F67" s="534">
        <f t="shared" ref="F67:K67" si="166">$F$66*F25</f>
        <v>0.11345084152709593</v>
      </c>
      <c r="G67" s="534">
        <f t="shared" si="166"/>
        <v>0.13938067847351113</v>
      </c>
      <c r="H67" s="533">
        <f t="shared" si="166"/>
        <v>0.11138271300777466</v>
      </c>
      <c r="I67" s="534">
        <f t="shared" si="166"/>
        <v>0.11277932397321194</v>
      </c>
      <c r="J67" s="533">
        <f t="shared" si="166"/>
        <v>0.10918688831727502</v>
      </c>
      <c r="K67" s="534">
        <f t="shared" si="166"/>
        <v>0.10803205284028966</v>
      </c>
      <c r="L67" s="527"/>
      <c r="AI67" s="331"/>
    </row>
    <row r="68" spans="1:50">
      <c r="B68" s="526"/>
      <c r="C68" s="527"/>
      <c r="D68" s="315"/>
      <c r="E68" s="529"/>
      <c r="F68" s="530"/>
      <c r="G68" s="530"/>
      <c r="H68" s="529"/>
      <c r="I68" s="530"/>
      <c r="J68" s="529"/>
      <c r="K68" s="530"/>
      <c r="L68" s="527"/>
      <c r="N68" s="346"/>
      <c r="AG68" s="346"/>
      <c r="AH68" s="346"/>
      <c r="AI68" s="331"/>
      <c r="AP68" s="346"/>
      <c r="AQ68" s="366"/>
      <c r="AX68" s="346"/>
    </row>
    <row r="69" spans="1:50">
      <c r="B69" s="526" t="s">
        <v>309</v>
      </c>
      <c r="C69" s="541">
        <v>0.28999999999999998</v>
      </c>
      <c r="D69" s="315"/>
      <c r="E69" s="544">
        <f>$C$69*E9</f>
        <v>0.11840655253154816</v>
      </c>
      <c r="F69" s="547">
        <f t="shared" ref="F69:K69" si="167">$C$69*F9</f>
        <v>0.13472628069176959</v>
      </c>
      <c r="G69" s="547">
        <f t="shared" si="167"/>
        <v>0.13472628069176959</v>
      </c>
      <c r="H69" s="544">
        <f t="shared" si="167"/>
        <v>0.12322860023584545</v>
      </c>
      <c r="I69" s="547">
        <f t="shared" si="167"/>
        <v>0.13298556309772652</v>
      </c>
      <c r="J69" s="544">
        <f t="shared" si="167"/>
        <v>9.5422774490668522E-2</v>
      </c>
      <c r="K69" s="547">
        <f t="shared" si="167"/>
        <v>9.2665545271072236E-2</v>
      </c>
      <c r="L69" s="527"/>
      <c r="AI69" s="331"/>
      <c r="AJ69" s="366"/>
      <c r="AK69" s="366"/>
      <c r="AL69" s="366"/>
      <c r="AM69" s="366"/>
      <c r="AN69" s="366"/>
    </row>
    <row r="70" spans="1:50">
      <c r="B70" s="526"/>
      <c r="C70" s="541"/>
      <c r="D70" s="315"/>
      <c r="E70" s="544">
        <f>$C$69*E63</f>
        <v>0.36207802010958257</v>
      </c>
      <c r="F70" s="547">
        <f>$C$69*F63</f>
        <v>0.35522289998775142</v>
      </c>
      <c r="G70" s="547">
        <f t="shared" ref="G70:L70" si="168">$C$69*G63</f>
        <v>0.35522289998775142</v>
      </c>
      <c r="H70" s="544">
        <f t="shared" si="168"/>
        <v>0.36005251356182466</v>
      </c>
      <c r="I70" s="547">
        <f t="shared" si="168"/>
        <v>0.3559540903659365</v>
      </c>
      <c r="J70" s="544">
        <f t="shared" si="168"/>
        <v>0.37173238185978452</v>
      </c>
      <c r="K70" s="547">
        <f t="shared" si="168"/>
        <v>0.37289055908664703</v>
      </c>
      <c r="L70" s="544">
        <f t="shared" si="168"/>
        <v>0</v>
      </c>
      <c r="AI70" s="331"/>
      <c r="AJ70" s="366"/>
      <c r="AK70" s="366"/>
      <c r="AL70" s="366"/>
      <c r="AM70" s="366"/>
      <c r="AN70" s="366"/>
    </row>
    <row r="71" spans="1:50">
      <c r="B71" s="526"/>
      <c r="C71" s="541"/>
      <c r="D71" s="315"/>
      <c r="E71" s="544"/>
      <c r="F71" s="547"/>
      <c r="G71" s="547"/>
      <c r="H71" s="544"/>
      <c r="I71" s="547"/>
      <c r="J71" s="544"/>
      <c r="K71" s="547"/>
      <c r="L71" s="544"/>
      <c r="AI71" s="331"/>
      <c r="AJ71" s="366"/>
      <c r="AK71" s="366"/>
      <c r="AL71" s="366"/>
      <c r="AM71" s="366"/>
      <c r="AN71" s="366"/>
    </row>
    <row r="72" spans="1:50">
      <c r="B72" s="526" t="s">
        <v>319</v>
      </c>
      <c r="C72" s="541"/>
      <c r="D72" s="315"/>
      <c r="E72" s="586">
        <f>E9*$F5*100</f>
        <v>2.7519534128358178</v>
      </c>
      <c r="F72" s="586">
        <f t="shared" ref="F72:K72" si="169">F9*$F5*100</f>
        <v>3.1312494116371345</v>
      </c>
      <c r="G72" s="586">
        <f t="shared" si="169"/>
        <v>3.1312494116371345</v>
      </c>
      <c r="H72" s="586">
        <f t="shared" si="169"/>
        <v>2.8640253408920158</v>
      </c>
      <c r="I72" s="586">
        <f t="shared" si="169"/>
        <v>3.0907924130902527</v>
      </c>
      <c r="J72" s="586">
        <f t="shared" si="169"/>
        <v>2.2177744753770376</v>
      </c>
      <c r="K72" s="586">
        <f t="shared" si="169"/>
        <v>2.153692157307546</v>
      </c>
      <c r="L72" s="527"/>
      <c r="AI72" s="331"/>
      <c r="AJ72" s="366"/>
      <c r="AK72" s="366"/>
      <c r="AL72" s="366"/>
      <c r="AM72" s="366"/>
      <c r="AN72" s="366"/>
    </row>
    <row r="73" spans="1:50">
      <c r="B73" s="526" t="s">
        <v>320</v>
      </c>
      <c r="C73" s="541"/>
      <c r="D73" s="315"/>
      <c r="E73" s="586">
        <f>E72*$F$66</f>
        <v>3.907914531149983</v>
      </c>
      <c r="F73" s="586">
        <f t="shared" ref="F73:K73" si="170">F72*$F$66</f>
        <v>4.4465342397573631</v>
      </c>
      <c r="G73" s="586">
        <f t="shared" si="170"/>
        <v>4.4465342397573631</v>
      </c>
      <c r="H73" s="586">
        <f t="shared" si="170"/>
        <v>4.0670623983130021</v>
      </c>
      <c r="I73" s="586">
        <f t="shared" si="170"/>
        <v>4.389083233584568</v>
      </c>
      <c r="J73" s="586">
        <f t="shared" si="170"/>
        <v>3.1493531317481369</v>
      </c>
      <c r="K73" s="586">
        <f t="shared" si="170"/>
        <v>3.0583529640834226</v>
      </c>
      <c r="L73" s="527"/>
      <c r="AI73" s="331"/>
    </row>
    <row r="74" spans="1:50" s="366" customFormat="1">
      <c r="A74" s="372"/>
      <c r="B74" s="526"/>
      <c r="C74" s="527"/>
      <c r="D74" s="315"/>
      <c r="E74" s="529"/>
      <c r="F74" s="530"/>
      <c r="G74" s="530"/>
      <c r="H74" s="529"/>
      <c r="I74" s="530"/>
      <c r="J74" s="529"/>
      <c r="K74" s="530"/>
      <c r="L74" s="527"/>
      <c r="M74" s="310"/>
      <c r="N74" s="337"/>
      <c r="O74" s="324"/>
      <c r="P74" s="324"/>
      <c r="Q74" s="324"/>
      <c r="R74" s="324"/>
      <c r="S74" s="324"/>
      <c r="T74" s="324"/>
      <c r="U74" s="324"/>
      <c r="V74" s="331"/>
      <c r="W74" s="310"/>
      <c r="X74" s="345"/>
      <c r="Y74" s="324"/>
      <c r="Z74" s="324"/>
      <c r="AA74" s="324"/>
      <c r="AB74" s="324"/>
      <c r="AC74" s="324"/>
      <c r="AD74" s="324"/>
      <c r="AE74" s="324"/>
      <c r="AF74" s="324"/>
      <c r="AG74" s="337"/>
      <c r="AH74" s="337"/>
      <c r="AI74" s="331"/>
      <c r="AJ74" s="353"/>
      <c r="AK74" s="324"/>
      <c r="AL74" s="324"/>
      <c r="AM74" s="324"/>
      <c r="AN74" s="324"/>
      <c r="AO74" s="331"/>
      <c r="AP74" s="337"/>
      <c r="AQ74" s="331"/>
      <c r="AR74" s="331"/>
      <c r="AS74" s="331"/>
      <c r="AT74" s="331"/>
      <c r="AU74" s="347"/>
      <c r="AV74" s="331"/>
      <c r="AW74" s="331"/>
      <c r="AX74" s="337"/>
    </row>
    <row r="75" spans="1:50">
      <c r="AI75" s="331"/>
    </row>
    <row r="76" spans="1:50">
      <c r="AI76" s="331"/>
    </row>
    <row r="77" spans="1:50">
      <c r="AI77" s="331"/>
    </row>
    <row r="78" spans="1:50">
      <c r="AI78" s="331"/>
    </row>
    <row r="79" spans="1:50">
      <c r="AI79" s="331"/>
    </row>
    <row r="80" spans="1:50">
      <c r="AI80" s="331"/>
    </row>
    <row r="81" spans="35:35">
      <c r="AI81" s="331"/>
    </row>
    <row r="82" spans="35:35">
      <c r="AI82" s="331"/>
    </row>
    <row r="83" spans="35:35">
      <c r="AI83" s="331"/>
    </row>
    <row r="84" spans="35:35">
      <c r="AI84" s="331"/>
    </row>
    <row r="85" spans="35:35">
      <c r="AI85" s="331"/>
    </row>
    <row r="86" spans="35:35">
      <c r="AI86" s="331"/>
    </row>
    <row r="87" spans="35:35">
      <c r="AI87" s="331"/>
    </row>
    <row r="88" spans="35:35">
      <c r="AI88" s="331"/>
    </row>
    <row r="89" spans="35:35">
      <c r="AI89" s="331"/>
    </row>
    <row r="90" spans="35:35">
      <c r="AI90" s="331"/>
    </row>
    <row r="91" spans="35:35">
      <c r="AI91" s="331"/>
    </row>
    <row r="92" spans="35:35">
      <c r="AI92" s="331"/>
    </row>
    <row r="93" spans="35:35">
      <c r="AI93" s="331"/>
    </row>
    <row r="94" spans="35:35">
      <c r="AI94" s="331"/>
    </row>
    <row r="95" spans="35:35">
      <c r="AI95" s="331"/>
    </row>
    <row r="96" spans="35:35">
      <c r="AI96" s="331"/>
    </row>
    <row r="97" spans="35:35">
      <c r="AI97" s="331"/>
    </row>
    <row r="98" spans="35:35">
      <c r="AI98" s="331"/>
    </row>
    <row r="99" spans="35:35">
      <c r="AI99" s="331"/>
    </row>
    <row r="100" spans="35:35">
      <c r="AI100" s="331"/>
    </row>
    <row r="101" spans="35:35">
      <c r="AI101" s="331"/>
    </row>
    <row r="102" spans="35:35">
      <c r="AI102" s="331"/>
    </row>
    <row r="103" spans="35:35">
      <c r="AI103" s="331"/>
    </row>
    <row r="104" spans="35:35">
      <c r="AI104" s="331"/>
    </row>
    <row r="105" spans="35:35">
      <c r="AI105" s="331"/>
    </row>
    <row r="106" spans="35:35">
      <c r="AI106" s="331"/>
    </row>
    <row r="107" spans="35:35">
      <c r="AI107" s="331"/>
    </row>
    <row r="108" spans="35:35">
      <c r="AI108" s="331"/>
    </row>
    <row r="109" spans="35:35">
      <c r="AI109" s="331"/>
    </row>
    <row r="110" spans="35:35">
      <c r="AI110" s="331"/>
    </row>
    <row r="111" spans="35:35">
      <c r="AI111" s="331"/>
    </row>
    <row r="112" spans="35:35">
      <c r="AI112" s="331"/>
    </row>
    <row r="113" spans="35:35">
      <c r="AI113" s="331"/>
    </row>
    <row r="114" spans="35:35">
      <c r="AI114" s="331"/>
    </row>
    <row r="115" spans="35:35">
      <c r="AI115" s="331"/>
    </row>
    <row r="116" spans="35:35">
      <c r="AI116" s="331"/>
    </row>
    <row r="117" spans="35:35">
      <c r="AI117" s="331"/>
    </row>
    <row r="118" spans="35:35">
      <c r="AI118" s="331"/>
    </row>
    <row r="119" spans="35:35">
      <c r="AI119" s="331"/>
    </row>
    <row r="120" spans="35:35">
      <c r="AI120" s="331"/>
    </row>
    <row r="121" spans="35:35">
      <c r="AI121" s="331"/>
    </row>
    <row r="122" spans="35:35">
      <c r="AI122" s="331"/>
    </row>
    <row r="123" spans="35:35">
      <c r="AI123" s="331"/>
    </row>
    <row r="124" spans="35:35">
      <c r="AI124" s="331"/>
    </row>
    <row r="125" spans="35:35">
      <c r="AI125" s="331"/>
    </row>
    <row r="126" spans="35:35">
      <c r="AI126" s="331"/>
    </row>
    <row r="127" spans="35:35">
      <c r="AI127" s="331"/>
    </row>
    <row r="128" spans="35:35">
      <c r="AI128" s="331"/>
    </row>
    <row r="129" spans="35:35">
      <c r="AI129" s="331"/>
    </row>
    <row r="130" spans="35:35">
      <c r="AI130" s="331"/>
    </row>
    <row r="131" spans="35:35">
      <c r="AI131" s="331"/>
    </row>
    <row r="132" spans="35:35">
      <c r="AI132" s="331"/>
    </row>
    <row r="133" spans="35:35">
      <c r="AI133" s="331"/>
    </row>
    <row r="134" spans="35:35">
      <c r="AI134" s="331"/>
    </row>
    <row r="135" spans="35:35">
      <c r="AI135" s="331"/>
    </row>
    <row r="136" spans="35:35">
      <c r="AI136" s="331"/>
    </row>
    <row r="137" spans="35:35">
      <c r="AI137" s="331"/>
    </row>
    <row r="138" spans="35:35">
      <c r="AI138" s="331"/>
    </row>
    <row r="139" spans="35:35">
      <c r="AI139" s="331"/>
    </row>
    <row r="140" spans="35:35">
      <c r="AI140" s="331"/>
    </row>
    <row r="141" spans="35:35">
      <c r="AI141" s="331"/>
    </row>
    <row r="142" spans="35:35">
      <c r="AI142" s="331"/>
    </row>
    <row r="143" spans="35:35">
      <c r="AI143" s="331"/>
    </row>
    <row r="144" spans="35:35">
      <c r="AI144" s="331"/>
    </row>
    <row r="145" spans="35:35">
      <c r="AI145" s="331"/>
    </row>
    <row r="146" spans="35:35">
      <c r="AI146" s="331"/>
    </row>
    <row r="147" spans="35:35">
      <c r="AI147" s="331"/>
    </row>
    <row r="148" spans="35:35">
      <c r="AI148" s="331"/>
    </row>
    <row r="149" spans="35:35">
      <c r="AI149" s="331"/>
    </row>
    <row r="150" spans="35:35">
      <c r="AI150" s="331"/>
    </row>
    <row r="151" spans="35:35">
      <c r="AI151" s="331"/>
    </row>
    <row r="152" spans="35:35">
      <c r="AI152" s="331"/>
    </row>
    <row r="153" spans="35:35">
      <c r="AI153" s="331"/>
    </row>
    <row r="154" spans="35:35">
      <c r="AI154" s="331"/>
    </row>
    <row r="155" spans="35:35">
      <c r="AI155" s="331"/>
    </row>
    <row r="156" spans="35:35">
      <c r="AI156" s="331"/>
    </row>
    <row r="157" spans="35:35">
      <c r="AI157" s="331"/>
    </row>
    <row r="158" spans="35:35">
      <c r="AI158" s="331"/>
    </row>
    <row r="159" spans="35:35">
      <c r="AI159" s="331"/>
    </row>
    <row r="160" spans="35:35">
      <c r="AI160" s="331"/>
    </row>
    <row r="161" spans="35:35">
      <c r="AI161" s="331"/>
    </row>
    <row r="162" spans="35:35">
      <c r="AI162" s="331"/>
    </row>
    <row r="163" spans="35:35">
      <c r="AI163" s="331"/>
    </row>
    <row r="164" spans="35:35">
      <c r="AI164" s="331"/>
    </row>
    <row r="165" spans="35:35">
      <c r="AI165" s="331"/>
    </row>
    <row r="166" spans="35:35">
      <c r="AI166" s="331"/>
    </row>
    <row r="167" spans="35:35">
      <c r="AI167" s="331"/>
    </row>
    <row r="168" spans="35:35">
      <c r="AI168" s="331"/>
    </row>
    <row r="169" spans="35:35">
      <c r="AI169" s="331"/>
    </row>
    <row r="170" spans="35:35">
      <c r="AI170" s="331"/>
    </row>
    <row r="171" spans="35:35">
      <c r="AI171" s="331"/>
    </row>
    <row r="172" spans="35:35">
      <c r="AI172" s="331"/>
    </row>
    <row r="173" spans="35:35">
      <c r="AI173" s="331"/>
    </row>
    <row r="174" spans="35:35">
      <c r="AI174" s="331"/>
    </row>
    <row r="175" spans="35:35">
      <c r="AI175" s="331"/>
    </row>
    <row r="176" spans="35:35">
      <c r="AI176" s="331"/>
    </row>
    <row r="177" spans="35:35">
      <c r="AI177" s="331"/>
    </row>
    <row r="178" spans="35:35">
      <c r="AI178" s="331"/>
    </row>
    <row r="179" spans="35:35">
      <c r="AI179" s="331"/>
    </row>
    <row r="180" spans="35:35">
      <c r="AI180" s="331"/>
    </row>
    <row r="181" spans="35:35">
      <c r="AI181" s="331"/>
    </row>
    <row r="182" spans="35:35">
      <c r="AI182" s="331"/>
    </row>
    <row r="183" spans="35:35">
      <c r="AI183" s="331"/>
    </row>
    <row r="184" spans="35:35">
      <c r="AI184" s="331"/>
    </row>
    <row r="185" spans="35:35">
      <c r="AI185" s="331"/>
    </row>
    <row r="186" spans="35:35">
      <c r="AI186" s="331"/>
    </row>
    <row r="187" spans="35:35">
      <c r="AI187" s="331"/>
    </row>
    <row r="188" spans="35:35">
      <c r="AI188" s="331"/>
    </row>
    <row r="189" spans="35:35">
      <c r="AI189" s="331"/>
    </row>
    <row r="190" spans="35:35">
      <c r="AI190" s="331"/>
    </row>
    <row r="191" spans="35:35">
      <c r="AI191" s="331"/>
    </row>
    <row r="192" spans="35:35">
      <c r="AI192" s="331"/>
    </row>
    <row r="193" spans="35:35">
      <c r="AI193" s="331"/>
    </row>
    <row r="194" spans="35:35">
      <c r="AI194" s="331"/>
    </row>
    <row r="195" spans="35:35">
      <c r="AI195" s="331"/>
    </row>
    <row r="196" spans="35:35">
      <c r="AI196" s="331"/>
    </row>
    <row r="197" spans="35:35">
      <c r="AI197" s="331"/>
    </row>
    <row r="198" spans="35:35">
      <c r="AI198" s="331"/>
    </row>
    <row r="199" spans="35:35">
      <c r="AI199" s="331"/>
    </row>
    <row r="200" spans="35:35">
      <c r="AI200" s="331"/>
    </row>
    <row r="201" spans="35:35">
      <c r="AI201" s="331"/>
    </row>
    <row r="202" spans="35:35">
      <c r="AI202" s="331"/>
    </row>
    <row r="203" spans="35:35">
      <c r="AI203" s="331"/>
    </row>
    <row r="204" spans="35:35">
      <c r="AI204" s="331"/>
    </row>
    <row r="205" spans="35:35">
      <c r="AI205" s="331"/>
    </row>
    <row r="206" spans="35:35">
      <c r="AI206" s="331"/>
    </row>
    <row r="207" spans="35:35">
      <c r="AI207" s="331"/>
    </row>
    <row r="208" spans="35:35">
      <c r="AI208" s="331"/>
    </row>
    <row r="209" spans="35:35">
      <c r="AI209" s="331"/>
    </row>
    <row r="210" spans="35:35">
      <c r="AI210" s="331"/>
    </row>
    <row r="211" spans="35:35">
      <c r="AI211" s="331"/>
    </row>
    <row r="212" spans="35:35">
      <c r="AI212" s="331"/>
    </row>
    <row r="213" spans="35:35">
      <c r="AI213" s="331"/>
    </row>
    <row r="214" spans="35:35">
      <c r="AI214" s="331"/>
    </row>
    <row r="215" spans="35:35">
      <c r="AI215" s="331"/>
    </row>
    <row r="216" spans="35:35">
      <c r="AI216" s="331"/>
    </row>
    <row r="217" spans="35:35">
      <c r="AI217" s="331"/>
    </row>
    <row r="218" spans="35:35">
      <c r="AI218" s="331"/>
    </row>
    <row r="219" spans="35:35">
      <c r="AI219" s="331"/>
    </row>
    <row r="220" spans="35:35">
      <c r="AI220" s="331"/>
    </row>
    <row r="221" spans="35:35">
      <c r="AI221" s="331"/>
    </row>
    <row r="222" spans="35:35">
      <c r="AI222" s="331"/>
    </row>
    <row r="223" spans="35:35">
      <c r="AI223" s="331"/>
    </row>
    <row r="224" spans="35:35">
      <c r="AI224" s="331"/>
    </row>
    <row r="225" spans="35:35">
      <c r="AI225" s="331"/>
    </row>
    <row r="226" spans="35:35">
      <c r="AI226" s="331"/>
    </row>
    <row r="227" spans="35:35">
      <c r="AI227" s="331"/>
    </row>
    <row r="228" spans="35:35">
      <c r="AI228" s="331"/>
    </row>
    <row r="229" spans="35:35">
      <c r="AI229" s="331"/>
    </row>
    <row r="230" spans="35:35">
      <c r="AI230" s="331"/>
    </row>
    <row r="231" spans="35:35">
      <c r="AI231" s="331"/>
    </row>
    <row r="232" spans="35:35">
      <c r="AI232" s="331"/>
    </row>
    <row r="233" spans="35:35">
      <c r="AI233" s="331"/>
    </row>
    <row r="234" spans="35:35">
      <c r="AI234" s="331"/>
    </row>
    <row r="235" spans="35:35">
      <c r="AI235" s="331"/>
    </row>
    <row r="236" spans="35:35">
      <c r="AI236" s="331"/>
    </row>
    <row r="237" spans="35:35">
      <c r="AI237" s="331"/>
    </row>
    <row r="238" spans="35:35">
      <c r="AI238" s="331"/>
    </row>
    <row r="239" spans="35:35">
      <c r="AI239" s="331"/>
    </row>
    <row r="240" spans="35:35">
      <c r="AI240" s="331"/>
    </row>
    <row r="241" spans="35:35">
      <c r="AI241" s="331"/>
    </row>
    <row r="242" spans="35:35">
      <c r="AI242" s="331"/>
    </row>
    <row r="243" spans="35:35">
      <c r="AI243" s="331"/>
    </row>
    <row r="244" spans="35:35">
      <c r="AI244" s="331"/>
    </row>
    <row r="245" spans="35:35">
      <c r="AI245" s="331"/>
    </row>
    <row r="246" spans="35:35">
      <c r="AI246" s="331"/>
    </row>
    <row r="247" spans="35:35">
      <c r="AI247" s="331"/>
    </row>
    <row r="248" spans="35:35">
      <c r="AI248" s="331"/>
    </row>
    <row r="249" spans="35:35">
      <c r="AI249" s="331"/>
    </row>
    <row r="250" spans="35:35">
      <c r="AI250" s="331"/>
    </row>
    <row r="251" spans="35:35">
      <c r="AI251" s="331"/>
    </row>
    <row r="252" spans="35:35">
      <c r="AI252" s="331"/>
    </row>
    <row r="253" spans="35:35">
      <c r="AI253" s="331"/>
    </row>
    <row r="254" spans="35:35">
      <c r="AI254" s="331"/>
    </row>
    <row r="255" spans="35:35">
      <c r="AI255" s="331"/>
    </row>
    <row r="256" spans="35:35">
      <c r="AI256" s="331"/>
    </row>
    <row r="257" spans="35:35">
      <c r="AI257" s="331"/>
    </row>
    <row r="258" spans="35:35">
      <c r="AI258" s="331"/>
    </row>
    <row r="259" spans="35:35">
      <c r="AI259" s="331"/>
    </row>
    <row r="260" spans="35:35">
      <c r="AI260" s="331"/>
    </row>
    <row r="261" spans="35:35">
      <c r="AI261" s="331"/>
    </row>
    <row r="262" spans="35:35">
      <c r="AI262" s="331"/>
    </row>
    <row r="263" spans="35:35">
      <c r="AI263" s="331"/>
    </row>
    <row r="264" spans="35:35">
      <c r="AI264" s="331"/>
    </row>
    <row r="265" spans="35:35">
      <c r="AI265" s="331"/>
    </row>
    <row r="266" spans="35:35">
      <c r="AI266" s="331"/>
    </row>
    <row r="267" spans="35:35">
      <c r="AI267" s="331"/>
    </row>
    <row r="268" spans="35:35">
      <c r="AI268" s="331"/>
    </row>
    <row r="269" spans="35:35">
      <c r="AI269" s="331"/>
    </row>
    <row r="270" spans="35:35">
      <c r="AI270" s="331"/>
    </row>
    <row r="271" spans="35:35">
      <c r="AI271" s="331"/>
    </row>
    <row r="272" spans="35:35">
      <c r="AI272" s="331"/>
    </row>
    <row r="273" spans="35:35">
      <c r="AI273" s="331"/>
    </row>
    <row r="274" spans="35:35">
      <c r="AI274" s="331"/>
    </row>
    <row r="275" spans="35:35">
      <c r="AI275" s="331"/>
    </row>
    <row r="276" spans="35:35">
      <c r="AI276" s="331"/>
    </row>
    <row r="277" spans="35:35">
      <c r="AI277" s="331"/>
    </row>
    <row r="278" spans="35:35">
      <c r="AI278" s="331"/>
    </row>
    <row r="279" spans="35:35">
      <c r="AI279" s="331"/>
    </row>
    <row r="280" spans="35:35">
      <c r="AI280" s="331"/>
    </row>
    <row r="281" spans="35:35">
      <c r="AI281" s="331"/>
    </row>
    <row r="282" spans="35:35">
      <c r="AI282" s="331"/>
    </row>
    <row r="283" spans="35:35">
      <c r="AI283" s="331"/>
    </row>
    <row r="284" spans="35:35">
      <c r="AI284" s="331"/>
    </row>
    <row r="285" spans="35:35">
      <c r="AI285" s="331"/>
    </row>
    <row r="286" spans="35:35">
      <c r="AI286" s="331"/>
    </row>
    <row r="287" spans="35:35">
      <c r="AI287" s="331"/>
    </row>
    <row r="288" spans="35:35">
      <c r="AI288" s="331"/>
    </row>
    <row r="289" spans="35:35">
      <c r="AI289" s="331"/>
    </row>
    <row r="290" spans="35:35">
      <c r="AI290" s="331"/>
    </row>
    <row r="291" spans="35:35">
      <c r="AI291" s="331"/>
    </row>
    <row r="292" spans="35:35">
      <c r="AI292" s="331"/>
    </row>
    <row r="293" spans="35:35">
      <c r="AI293" s="331"/>
    </row>
    <row r="294" spans="35:35">
      <c r="AI294" s="331"/>
    </row>
    <row r="295" spans="35:35">
      <c r="AI295" s="331"/>
    </row>
    <row r="296" spans="35:35">
      <c r="AI296" s="331"/>
    </row>
    <row r="297" spans="35:35">
      <c r="AI297" s="331"/>
    </row>
    <row r="298" spans="35:35">
      <c r="AI298" s="331"/>
    </row>
    <row r="299" spans="35:35">
      <c r="AI299" s="331"/>
    </row>
    <row r="300" spans="35:35">
      <c r="AI300" s="331"/>
    </row>
    <row r="301" spans="35:35">
      <c r="AI301" s="331"/>
    </row>
    <row r="302" spans="35:35">
      <c r="AI302" s="331"/>
    </row>
    <row r="303" spans="35:35">
      <c r="AI303" s="331"/>
    </row>
    <row r="304" spans="35:35">
      <c r="AI304" s="331"/>
    </row>
    <row r="305" spans="35:35">
      <c r="AI305" s="331"/>
    </row>
    <row r="306" spans="35:35">
      <c r="AI306" s="331"/>
    </row>
    <row r="307" spans="35:35">
      <c r="AI307" s="331"/>
    </row>
    <row r="308" spans="35:35">
      <c r="AI308" s="331"/>
    </row>
    <row r="309" spans="35:35">
      <c r="AI309" s="331"/>
    </row>
    <row r="310" spans="35:35">
      <c r="AI310" s="331"/>
    </row>
    <row r="311" spans="35:35">
      <c r="AI311" s="331"/>
    </row>
    <row r="312" spans="35:35">
      <c r="AI312" s="331"/>
    </row>
    <row r="313" spans="35:35">
      <c r="AI313" s="331"/>
    </row>
    <row r="314" spans="35:35">
      <c r="AI314" s="331"/>
    </row>
    <row r="315" spans="35:35">
      <c r="AI315" s="331"/>
    </row>
    <row r="316" spans="35:35">
      <c r="AI316" s="331"/>
    </row>
    <row r="317" spans="35:35">
      <c r="AI317" s="331"/>
    </row>
    <row r="318" spans="35:35">
      <c r="AI318" s="331"/>
    </row>
    <row r="319" spans="35:35">
      <c r="AI319" s="331"/>
    </row>
    <row r="320" spans="35:35">
      <c r="AI320" s="331"/>
    </row>
    <row r="321" spans="35:35">
      <c r="AI321" s="331"/>
    </row>
    <row r="322" spans="35:35">
      <c r="AI322" s="331"/>
    </row>
    <row r="323" spans="35:35">
      <c r="AI323" s="331"/>
    </row>
    <row r="324" spans="35:35">
      <c r="AI324" s="331"/>
    </row>
    <row r="325" spans="35:35">
      <c r="AI325" s="331"/>
    </row>
    <row r="326" spans="35:35">
      <c r="AI326" s="331"/>
    </row>
    <row r="327" spans="35:35">
      <c r="AI327" s="331"/>
    </row>
    <row r="328" spans="35:35">
      <c r="AI328" s="331"/>
    </row>
    <row r="329" spans="35:35">
      <c r="AI329" s="331"/>
    </row>
    <row r="330" spans="35:35">
      <c r="AI330" s="331"/>
    </row>
    <row r="331" spans="35:35">
      <c r="AI331" s="331"/>
    </row>
    <row r="332" spans="35:35">
      <c r="AI332" s="331"/>
    </row>
    <row r="333" spans="35:35">
      <c r="AI333" s="331"/>
    </row>
    <row r="334" spans="35:35">
      <c r="AI334" s="331"/>
    </row>
    <row r="335" spans="35:35">
      <c r="AI335" s="331"/>
    </row>
    <row r="336" spans="35:35">
      <c r="AI336" s="331"/>
    </row>
    <row r="337" spans="35:35">
      <c r="AI337" s="331"/>
    </row>
    <row r="338" spans="35:35">
      <c r="AI338" s="331"/>
    </row>
    <row r="339" spans="35:35">
      <c r="AI339" s="331"/>
    </row>
    <row r="340" spans="35:35">
      <c r="AI340" s="331"/>
    </row>
    <row r="341" spans="35:35">
      <c r="AI341" s="331"/>
    </row>
    <row r="342" spans="35:35">
      <c r="AI342" s="331"/>
    </row>
    <row r="343" spans="35:35">
      <c r="AI343" s="331"/>
    </row>
    <row r="344" spans="35:35">
      <c r="AI344" s="331"/>
    </row>
    <row r="345" spans="35:35">
      <c r="AI345" s="331"/>
    </row>
    <row r="346" spans="35:35">
      <c r="AI346" s="331"/>
    </row>
    <row r="347" spans="35:35">
      <c r="AI347" s="331"/>
    </row>
    <row r="348" spans="35:35">
      <c r="AI348" s="331"/>
    </row>
    <row r="349" spans="35:35">
      <c r="AI349" s="331"/>
    </row>
    <row r="350" spans="35:35">
      <c r="AI350" s="331"/>
    </row>
    <row r="351" spans="35:35">
      <c r="AI351" s="331"/>
    </row>
    <row r="352" spans="35:35">
      <c r="AI352" s="331"/>
    </row>
    <row r="353" spans="35:35">
      <c r="AI353" s="331"/>
    </row>
    <row r="354" spans="35:35">
      <c r="AI354" s="331"/>
    </row>
    <row r="355" spans="35:35">
      <c r="AI355" s="331"/>
    </row>
    <row r="356" spans="35:35">
      <c r="AI356" s="331"/>
    </row>
    <row r="357" spans="35:35">
      <c r="AI357" s="331"/>
    </row>
    <row r="358" spans="35:35">
      <c r="AI358" s="331"/>
    </row>
    <row r="359" spans="35:35">
      <c r="AI359" s="331"/>
    </row>
    <row r="360" spans="35:35">
      <c r="AI360" s="331"/>
    </row>
    <row r="361" spans="35:35">
      <c r="AI361" s="331"/>
    </row>
    <row r="362" spans="35:35">
      <c r="AI362" s="331"/>
    </row>
    <row r="363" spans="35:35">
      <c r="AI363" s="331"/>
    </row>
    <row r="364" spans="35:35">
      <c r="AI364" s="331"/>
    </row>
    <row r="365" spans="35:35">
      <c r="AI365" s="331"/>
    </row>
    <row r="366" spans="35:35">
      <c r="AI366" s="331"/>
    </row>
    <row r="367" spans="35:35">
      <c r="AI367" s="331"/>
    </row>
    <row r="368" spans="35:35">
      <c r="AI368" s="331"/>
    </row>
    <row r="369" spans="35:35">
      <c r="AI369" s="331"/>
    </row>
    <row r="370" spans="35:35">
      <c r="AI370" s="331"/>
    </row>
    <row r="371" spans="35:35">
      <c r="AI371" s="331"/>
    </row>
    <row r="372" spans="35:35">
      <c r="AI372" s="331"/>
    </row>
    <row r="373" spans="35:35">
      <c r="AI373" s="331"/>
    </row>
    <row r="374" spans="35:35">
      <c r="AI374" s="331"/>
    </row>
    <row r="375" spans="35:35">
      <c r="AI375" s="331"/>
    </row>
    <row r="376" spans="35:35">
      <c r="AI376" s="331"/>
    </row>
    <row r="377" spans="35:35">
      <c r="AI377" s="331"/>
    </row>
    <row r="378" spans="35:35">
      <c r="AI378" s="331"/>
    </row>
    <row r="379" spans="35:35">
      <c r="AI379" s="331"/>
    </row>
    <row r="380" spans="35:35">
      <c r="AI380" s="331"/>
    </row>
    <row r="381" spans="35:35">
      <c r="AI381" s="331"/>
    </row>
    <row r="382" spans="35:35">
      <c r="AI382" s="331"/>
    </row>
    <row r="383" spans="35:35">
      <c r="AI383" s="331"/>
    </row>
    <row r="384" spans="35:35">
      <c r="AI384" s="331"/>
    </row>
    <row r="385" spans="35:35">
      <c r="AI385" s="331"/>
    </row>
    <row r="386" spans="35:35">
      <c r="AI386" s="331"/>
    </row>
    <row r="387" spans="35:35">
      <c r="AI387" s="331"/>
    </row>
    <row r="388" spans="35:35">
      <c r="AI388" s="331"/>
    </row>
    <row r="389" spans="35:35">
      <c r="AI389" s="331"/>
    </row>
    <row r="390" spans="35:35">
      <c r="AI390" s="331"/>
    </row>
    <row r="391" spans="35:35">
      <c r="AI391" s="331"/>
    </row>
    <row r="392" spans="35:35">
      <c r="AI392" s="331"/>
    </row>
    <row r="393" spans="35:35">
      <c r="AI393" s="331"/>
    </row>
    <row r="394" spans="35:35">
      <c r="AI394" s="331"/>
    </row>
    <row r="395" spans="35:35">
      <c r="AI395" s="331"/>
    </row>
    <row r="396" spans="35:35">
      <c r="AI396" s="331"/>
    </row>
    <row r="397" spans="35:35">
      <c r="AI397" s="331"/>
    </row>
    <row r="398" spans="35:35">
      <c r="AI398" s="331"/>
    </row>
    <row r="399" spans="35:35">
      <c r="AI399" s="331"/>
    </row>
    <row r="400" spans="35:35">
      <c r="AI400" s="331"/>
    </row>
    <row r="401" spans="35:35">
      <c r="AI401" s="331"/>
    </row>
    <row r="402" spans="35:35">
      <c r="AI402" s="331"/>
    </row>
    <row r="403" spans="35:35">
      <c r="AI403" s="331"/>
    </row>
    <row r="404" spans="35:35">
      <c r="AI404" s="331"/>
    </row>
    <row r="405" spans="35:35">
      <c r="AI405" s="331"/>
    </row>
    <row r="406" spans="35:35">
      <c r="AI406" s="331"/>
    </row>
    <row r="407" spans="35:35">
      <c r="AI407" s="331"/>
    </row>
    <row r="408" spans="35:35">
      <c r="AI408" s="331"/>
    </row>
    <row r="409" spans="35:35">
      <c r="AI409" s="331"/>
    </row>
    <row r="410" spans="35:35">
      <c r="AI410" s="331"/>
    </row>
    <row r="411" spans="35:35">
      <c r="AI411" s="331"/>
    </row>
    <row r="412" spans="35:35">
      <c r="AI412" s="331"/>
    </row>
    <row r="413" spans="35:35">
      <c r="AI413" s="331"/>
    </row>
    <row r="414" spans="35:35">
      <c r="AI414" s="331"/>
    </row>
    <row r="415" spans="35:35">
      <c r="AI415" s="331"/>
    </row>
    <row r="416" spans="35:35">
      <c r="AI416" s="331"/>
    </row>
    <row r="417" spans="35:35">
      <c r="AI417" s="331"/>
    </row>
    <row r="418" spans="35:35">
      <c r="AI418" s="331"/>
    </row>
    <row r="419" spans="35:35">
      <c r="AI419" s="331"/>
    </row>
    <row r="420" spans="35:35">
      <c r="AI420" s="331"/>
    </row>
    <row r="421" spans="35:35">
      <c r="AI421" s="331"/>
    </row>
    <row r="422" spans="35:35">
      <c r="AI422" s="331"/>
    </row>
    <row r="423" spans="35:35">
      <c r="AI423" s="331"/>
    </row>
    <row r="424" spans="35:35">
      <c r="AI424" s="331"/>
    </row>
    <row r="425" spans="35:35">
      <c r="AI425" s="331"/>
    </row>
    <row r="426" spans="35:35">
      <c r="AI426" s="331"/>
    </row>
    <row r="427" spans="35:35">
      <c r="AI427" s="331"/>
    </row>
    <row r="428" spans="35:35">
      <c r="AI428" s="331"/>
    </row>
    <row r="429" spans="35:35">
      <c r="AI429" s="331"/>
    </row>
    <row r="430" spans="35:35">
      <c r="AI430" s="331"/>
    </row>
    <row r="431" spans="35:35">
      <c r="AI431" s="331"/>
    </row>
    <row r="432" spans="35:35">
      <c r="AI432" s="331"/>
    </row>
    <row r="433" spans="35:35">
      <c r="AI433" s="331"/>
    </row>
    <row r="434" spans="35:35">
      <c r="AI434" s="331"/>
    </row>
    <row r="435" spans="35:35">
      <c r="AI435" s="331"/>
    </row>
    <row r="436" spans="35:35">
      <c r="AI436" s="331"/>
    </row>
    <row r="437" spans="35:35">
      <c r="AI437" s="331"/>
    </row>
    <row r="438" spans="35:35">
      <c r="AI438" s="331"/>
    </row>
    <row r="439" spans="35:35">
      <c r="AI439" s="331"/>
    </row>
    <row r="440" spans="35:35">
      <c r="AI440" s="331"/>
    </row>
    <row r="441" spans="35:35">
      <c r="AI441" s="331"/>
    </row>
    <row r="442" spans="35:35">
      <c r="AI442" s="331"/>
    </row>
    <row r="443" spans="35:35">
      <c r="AI443" s="331"/>
    </row>
    <row r="444" spans="35:35">
      <c r="AI444" s="331"/>
    </row>
    <row r="445" spans="35:35">
      <c r="AI445" s="331"/>
    </row>
  </sheetData>
  <mergeCells count="21">
    <mergeCell ref="Z28:AA28"/>
    <mergeCell ref="B34:C34"/>
    <mergeCell ref="B36:C36"/>
    <mergeCell ref="B17:C17"/>
    <mergeCell ref="B33:C33"/>
    <mergeCell ref="B27:C27"/>
    <mergeCell ref="B28:C28"/>
    <mergeCell ref="B31:C31"/>
    <mergeCell ref="B32:C32"/>
    <mergeCell ref="B10:C10"/>
    <mergeCell ref="B13:C13"/>
    <mergeCell ref="B16:C16"/>
    <mergeCell ref="B12:C12"/>
    <mergeCell ref="B15:C15"/>
    <mergeCell ref="B9:C9"/>
    <mergeCell ref="B4:C4"/>
    <mergeCell ref="B5:C5"/>
    <mergeCell ref="B6:C6"/>
    <mergeCell ref="B3:C3"/>
    <mergeCell ref="B7:C7"/>
    <mergeCell ref="B8:C8"/>
  </mergeCells>
  <dataValidations count="3">
    <dataValidation type="list" allowBlank="1" showInputMessage="1" showErrorMessage="1" sqref="D21 W21" xr:uid="{00000000-0002-0000-0000-000000000000}">
      <formula1>$A$35:$A$35</formula1>
    </dataValidation>
    <dataValidation type="list" allowBlank="1" showInputMessage="1" showErrorMessage="1" sqref="E55:K55 Y55:AE55 Y12:AE12" xr:uid="{00000000-0002-0000-0000-000001000000}">
      <formula1>$C$42:$C$52</formula1>
    </dataValidation>
    <dataValidation type="list" allowBlank="1" showInputMessage="1" showErrorMessage="1" sqref="B1" xr:uid="{00000000-0002-0000-0000-000002000000}">
      <formula1>$J$42:$J$43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8"/>
  <sheetViews>
    <sheetView showGridLines="0" tabSelected="1" zoomScaleNormal="100" workbookViewId="0">
      <pane ySplit="2" topLeftCell="A3" activePane="bottomLeft" state="frozen"/>
      <selection pane="bottomLeft" activeCell="C33" sqref="C33"/>
    </sheetView>
  </sheetViews>
  <sheetFormatPr baseColWidth="10" defaultColWidth="11.5546875" defaultRowHeight="13.2"/>
  <cols>
    <col min="1" max="1" width="26.21875" style="373" customWidth="1"/>
    <col min="2" max="2" width="13.44140625" style="373" customWidth="1"/>
    <col min="3" max="12" width="12.109375" style="373" customWidth="1"/>
    <col min="13" max="13" width="7.88671875" style="373" customWidth="1"/>
    <col min="14" max="14" width="6.33203125" style="373" bestFit="1" customWidth="1"/>
    <col min="15" max="15" width="6.44140625" style="373" bestFit="1" customWidth="1"/>
    <col min="16" max="16" width="7" style="373" bestFit="1" customWidth="1"/>
    <col min="17" max="17" width="9.33203125" style="373" bestFit="1" customWidth="1"/>
    <col min="18" max="18" width="8.88671875" style="373" customWidth="1"/>
    <col min="19" max="29" width="6.6640625" style="373" customWidth="1"/>
    <col min="30" max="16384" width="11.5546875" style="373"/>
  </cols>
  <sheetData>
    <row r="1" spans="1:29">
      <c r="A1" s="33" t="str">
        <f>CONCATENATE("WACC BIPT ",'WACC BIPT 2019'!$B$1," to Ms Word")</f>
        <v>WACC BIPT 2019 to Ms Word</v>
      </c>
      <c r="B1" s="33"/>
      <c r="C1" s="73"/>
      <c r="D1" s="42" t="str">
        <f>CONCATENATE("WACC et paramètres des opérateurs belges, ",'WACC BIPT 2019'!$B$1," &amp; 2015")</f>
        <v>WACC et paramètres des opérateurs belges, 2019 &amp; 2015</v>
      </c>
      <c r="E1" s="42"/>
      <c r="F1" s="42"/>
      <c r="G1" s="41"/>
      <c r="H1" s="41"/>
      <c r="I1" s="388"/>
      <c r="J1" s="613" t="s">
        <v>353</v>
      </c>
      <c r="K1" s="616">
        <v>1.5E-3</v>
      </c>
      <c r="L1" s="617">
        <v>1.5E-3</v>
      </c>
      <c r="M1" s="614"/>
      <c r="N1" s="382"/>
      <c r="O1" s="382"/>
      <c r="P1" s="382"/>
      <c r="Q1" s="382"/>
      <c r="R1" s="382"/>
      <c r="S1" s="383"/>
      <c r="T1" s="382"/>
    </row>
    <row r="2" spans="1:29">
      <c r="A2"/>
      <c r="B2"/>
      <c r="C2"/>
      <c r="D2"/>
      <c r="E2"/>
      <c r="F2"/>
      <c r="G2"/>
      <c r="H2"/>
      <c r="I2"/>
      <c r="J2"/>
      <c r="K2"/>
      <c r="L2" s="614"/>
      <c r="M2" s="615"/>
      <c r="N2" s="382"/>
      <c r="R2" s="383"/>
      <c r="S2" s="383"/>
      <c r="U2" s="383"/>
      <c r="W2" s="383"/>
      <c r="X2" s="383"/>
      <c r="Y2" s="383"/>
      <c r="Z2" s="383"/>
      <c r="AA2" s="383"/>
      <c r="AB2" s="383"/>
      <c r="AC2" s="383"/>
    </row>
    <row r="3" spans="1:29">
      <c r="N3" s="382"/>
      <c r="R3" s="383"/>
      <c r="S3" s="383"/>
      <c r="U3" s="383"/>
      <c r="W3" s="383"/>
      <c r="X3" s="383"/>
      <c r="Y3" s="383"/>
      <c r="Z3" s="383"/>
      <c r="AA3" s="383"/>
      <c r="AB3" s="383"/>
      <c r="AC3" s="383"/>
    </row>
    <row r="4" spans="1:29">
      <c r="A4"/>
      <c r="B4"/>
      <c r="C4"/>
      <c r="D4"/>
      <c r="E4"/>
      <c r="F4"/>
      <c r="G4"/>
      <c r="H4"/>
      <c r="I4"/>
      <c r="J4"/>
      <c r="K4"/>
      <c r="L4"/>
      <c r="M4"/>
      <c r="N4" s="382"/>
      <c r="R4" s="383"/>
      <c r="S4" s="383"/>
      <c r="U4" s="383"/>
      <c r="W4" s="383"/>
      <c r="X4" s="383"/>
      <c r="Y4" s="383"/>
      <c r="Z4" s="383"/>
      <c r="AA4" s="383"/>
      <c r="AB4" s="383"/>
      <c r="AC4" s="383"/>
    </row>
    <row r="5" spans="1:29">
      <c r="A5" s="73" t="s">
        <v>74</v>
      </c>
      <c r="B5" s="95" t="s">
        <v>58</v>
      </c>
      <c r="C5" s="96"/>
      <c r="D5" s="221">
        <f>'WACC BIPT 2019'!$B$1</f>
        <v>2019</v>
      </c>
      <c r="E5" s="221">
        <v>2015</v>
      </c>
      <c r="F5" s="96"/>
      <c r="G5" s="96"/>
      <c r="H5" s="96"/>
      <c r="I5" s="96"/>
      <c r="J5" s="96"/>
      <c r="K5" s="96"/>
      <c r="L5" s="96"/>
      <c r="M5" s="96"/>
    </row>
    <row r="6" spans="1:29">
      <c r="A6" s="45" t="s">
        <v>63</v>
      </c>
      <c r="B6" s="45" t="s">
        <v>8</v>
      </c>
      <c r="C6" s="38"/>
      <c r="D6" s="491">
        <f>'WACC BIPT 2019'!F7</f>
        <v>0.29580000000000001</v>
      </c>
      <c r="E6" s="97">
        <v>0.34</v>
      </c>
      <c r="F6" s="38"/>
      <c r="G6" s="38"/>
      <c r="H6" s="38"/>
      <c r="I6" s="97"/>
      <c r="J6" s="38"/>
      <c r="K6" s="38"/>
      <c r="L6" s="97"/>
      <c r="M6" s="37"/>
    </row>
    <row r="7" spans="1:29">
      <c r="A7" s="41" t="s">
        <v>5</v>
      </c>
      <c r="B7" s="41" t="s">
        <v>0</v>
      </c>
      <c r="C7" s="37"/>
      <c r="D7" s="94">
        <f>'WACC BIPT 2019'!$F$3</f>
        <v>8.2095949624190374E-3</v>
      </c>
      <c r="E7" s="94">
        <f>'WACC BIPT 2019'!AS3</f>
        <v>2.6303155319238606E-2</v>
      </c>
      <c r="F7" s="36"/>
      <c r="G7" s="37"/>
      <c r="H7" s="37"/>
      <c r="I7" s="37"/>
      <c r="J7" s="37"/>
      <c r="K7" s="37"/>
      <c r="L7" s="37"/>
      <c r="M7" s="37"/>
    </row>
    <row r="8" spans="1:29">
      <c r="A8" s="41" t="s">
        <v>6</v>
      </c>
      <c r="B8" s="41" t="s">
        <v>107</v>
      </c>
      <c r="C8" s="37"/>
      <c r="D8" s="94">
        <f>'WACC BIPT 2019'!$F$5</f>
        <v>6.7400534232237769E-2</v>
      </c>
      <c r="E8" s="94">
        <f>'WACC BIPT 2019'!AS5</f>
        <v>6.025797811850131E-2</v>
      </c>
      <c r="F8" s="36"/>
      <c r="G8" s="37"/>
      <c r="H8" s="37"/>
      <c r="I8" s="37"/>
      <c r="J8" s="37"/>
      <c r="K8" s="37"/>
      <c r="L8" s="37"/>
      <c r="M8" s="37"/>
    </row>
    <row r="9" spans="1:29">
      <c r="A9" s="41"/>
      <c r="B9" s="41"/>
      <c r="C9" s="37"/>
      <c r="D9" s="34"/>
      <c r="E9" s="36"/>
      <c r="F9" s="36"/>
      <c r="G9" s="37"/>
      <c r="H9" s="37"/>
      <c r="I9" s="37"/>
      <c r="J9" s="37"/>
      <c r="K9" s="37"/>
      <c r="L9" s="37"/>
      <c r="M9" s="37"/>
    </row>
    <row r="10" spans="1:29">
      <c r="A10" s="73" t="s">
        <v>75</v>
      </c>
      <c r="B10" s="41"/>
      <c r="C10" s="44" t="s">
        <v>1</v>
      </c>
      <c r="D10" s="43" t="s">
        <v>102</v>
      </c>
      <c r="E10" s="44" t="s">
        <v>101</v>
      </c>
      <c r="F10" s="43" t="s">
        <v>88</v>
      </c>
      <c r="G10" s="44" t="s">
        <v>25</v>
      </c>
      <c r="H10" s="43" t="s">
        <v>103</v>
      </c>
      <c r="I10" s="44" t="s">
        <v>108</v>
      </c>
      <c r="J10" s="44" t="s">
        <v>86</v>
      </c>
      <c r="K10" s="43" t="s">
        <v>15</v>
      </c>
      <c r="L10" s="44" t="s">
        <v>104</v>
      </c>
      <c r="M10" s="87"/>
    </row>
    <row r="11" spans="1:29">
      <c r="A11" s="45" t="s">
        <v>70</v>
      </c>
      <c r="B11" s="45" t="s">
        <v>42</v>
      </c>
      <c r="C11" s="74">
        <f>'WACC BIPT 2019'!E9</f>
        <v>0.40829845700533851</v>
      </c>
      <c r="D11" s="74">
        <f>'WACC BIPT 2019'!F9</f>
        <v>0.46457338169575724</v>
      </c>
      <c r="E11" s="74">
        <f>'WACC BIPT 2019'!AS9</f>
        <v>0.42</v>
      </c>
      <c r="F11" s="74">
        <f>'WACC BIPT 2019'!G9</f>
        <v>0.46457338169575724</v>
      </c>
      <c r="G11" s="74">
        <f>'WACC BIPT 2019'!H9</f>
        <v>0.42492620770981193</v>
      </c>
      <c r="H11" s="74">
        <f>'WACC BIPT 2019'!I9</f>
        <v>0.45857090723353977</v>
      </c>
      <c r="I11" s="74">
        <f>'WACC BIPT 2019'!AT9</f>
        <v>0.42</v>
      </c>
      <c r="J11" s="74">
        <f>'WACC BIPT 2019'!J9</f>
        <v>0.32904404996782249</v>
      </c>
      <c r="K11" s="74">
        <f>'WACC BIPT 2019'!K9</f>
        <v>0.31953636300369737</v>
      </c>
      <c r="L11" s="74">
        <f>'WACC BIPT 2019'!AV9</f>
        <v>0.42</v>
      </c>
      <c r="M11" s="218"/>
    </row>
    <row r="12" spans="1:29">
      <c r="A12" s="41" t="s">
        <v>26</v>
      </c>
      <c r="B12" s="41" t="s">
        <v>265</v>
      </c>
      <c r="C12" s="48" t="str">
        <f>'WACC BIPT 2019'!E12</f>
        <v>BBB+</v>
      </c>
      <c r="D12" s="48" t="str">
        <f>'WACC BIPT 2019'!F12</f>
        <v>BBB+</v>
      </c>
      <c r="E12" s="48" t="str">
        <f>'WACC BIPT 2019'!AS12</f>
        <v>BBB</v>
      </c>
      <c r="F12" s="47" t="str">
        <f>'WACC BIPT 2019'!G12</f>
        <v>BBB-</v>
      </c>
      <c r="G12" s="34" t="str">
        <f>'WACC BIPT 2019'!H12</f>
        <v>BBB-</v>
      </c>
      <c r="H12" s="47" t="str">
        <f>'WACC BIPT 2019'!I12</f>
        <v>BBB-</v>
      </c>
      <c r="I12" s="47" t="str">
        <f>'WACC BIPT 2019'!AT12</f>
        <v>BB-</v>
      </c>
      <c r="J12" s="47" t="str">
        <f>'WACC BIPT 2019'!J12</f>
        <v>BBB</v>
      </c>
      <c r="K12" s="47" t="str">
        <f>'WACC BIPT 2019'!K12</f>
        <v>BB+</v>
      </c>
      <c r="L12" s="47" t="str">
        <f>'WACC BIPT 2019'!AV12</f>
        <v>BBB-</v>
      </c>
      <c r="M12" s="80"/>
    </row>
    <row r="13" spans="1:29">
      <c r="A13" s="41" t="s">
        <v>12</v>
      </c>
      <c r="B13" s="41" t="s">
        <v>13</v>
      </c>
      <c r="C13" s="94">
        <f>'WACC BIPT 2019'!E15+'WACC BIPT 2019'!E13</f>
        <v>1.4332484076433118E-2</v>
      </c>
      <c r="D13" s="94">
        <f>'WACC BIPT 2019'!F15+'WACC BIPT 2019'!F13</f>
        <v>1.4332484076433118E-2</v>
      </c>
      <c r="E13" s="94">
        <f>'WACC BIPT 2019'!AS15+'WACC BIPT 2019'!AS13</f>
        <v>1.8147732484076421E-2</v>
      </c>
      <c r="F13" s="94">
        <f>'WACC BIPT 2019'!G15+'WACC BIPT 2019'!G13</f>
        <v>1.9885987261146491E-2</v>
      </c>
      <c r="G13" s="94">
        <f>'WACC BIPT 2019'!H15+'WACC BIPT 2019'!H13</f>
        <v>1.9885987261146491E-2</v>
      </c>
      <c r="H13" s="94">
        <f>'WACC BIPT 2019'!I15+'WACC BIPT 2019'!I13</f>
        <v>1.9885987261146491E-2</v>
      </c>
      <c r="I13" s="94">
        <f>'WACC BIPT 2019'!AT15+'WACC BIPT 2019'!AT13</f>
        <v>5.3540844585987249E-2</v>
      </c>
      <c r="J13" s="94">
        <f>'WACC BIPT 2019'!J15+'WACC BIPT 2019'!J13</f>
        <v>1.7109235668789805E-2</v>
      </c>
      <c r="K13" s="94">
        <f>'WACC BIPT 2019'!K15+'WACC BIPT 2019'!K13</f>
        <v>2.3139554140127392E-2</v>
      </c>
      <c r="L13" s="94">
        <f>'WACC BIPT 2019'!AV15+'WACC BIPT 2019'!AV13</f>
        <v>2.4471535031847128E-2</v>
      </c>
      <c r="M13" s="80"/>
    </row>
    <row r="14" spans="1:29">
      <c r="A14" s="68" t="s">
        <v>105</v>
      </c>
      <c r="B14" s="68" t="s">
        <v>9</v>
      </c>
      <c r="C14" s="69">
        <f>'WACC BIPT 2019'!E18</f>
        <v>0.75</v>
      </c>
      <c r="D14" s="69">
        <f>'WACC BIPT 2019'!F18</f>
        <v>0.71337755526539992</v>
      </c>
      <c r="E14" s="81">
        <f>'WACC BIPT 2019'!AS18</f>
        <v>0.6</v>
      </c>
      <c r="F14" s="69">
        <f>'WACC BIPT 2019'!G18</f>
        <v>0.9</v>
      </c>
      <c r="G14" s="69">
        <f>'WACC BIPT 2019'!H18</f>
        <v>0.75</v>
      </c>
      <c r="H14" s="69">
        <f>'WACC BIPT 2019'!I18</f>
        <v>0.73239920686046522</v>
      </c>
      <c r="I14" s="81">
        <f>'WACC BIPT 2019'!AT18</f>
        <v>0.6</v>
      </c>
      <c r="J14" s="69">
        <f>'WACC BIPT 2019'!J18</f>
        <v>0.8</v>
      </c>
      <c r="K14" s="69">
        <f>'WACC BIPT 2019'!K18</f>
        <v>0.80580412111106092</v>
      </c>
      <c r="L14" s="81">
        <f>'WACC BIPT 2019'!AV18</f>
        <v>0.6</v>
      </c>
      <c r="M14" s="82"/>
    </row>
    <row r="15" spans="1:29">
      <c r="A15" s="41" t="s">
        <v>106</v>
      </c>
      <c r="B15" s="222" t="s">
        <v>109</v>
      </c>
      <c r="C15" s="223">
        <f>'WACC BIPT 2019'!E19</f>
        <v>0.67636473819730303</v>
      </c>
      <c r="D15" s="223">
        <f>'WACC BIPT 2019'!F19</f>
        <v>0.63462598480292776</v>
      </c>
      <c r="E15" s="224">
        <f>'WACC BIPT 2019'!AS19</f>
        <v>0.5459676933000126</v>
      </c>
      <c r="F15" s="223">
        <f>'WACC BIPT 2019'!G19</f>
        <v>0.80229056353327544</v>
      </c>
      <c r="G15" s="223">
        <f>'WACC BIPT 2019'!H19</f>
        <v>0.67948316396624175</v>
      </c>
      <c r="H15" s="223">
        <f>'WACC BIPT 2019'!I19</f>
        <v>0.65868647107883593</v>
      </c>
      <c r="I15" s="224">
        <f>'WACC BIPT 2019'!AT19</f>
        <v>0.56637920493840965</v>
      </c>
      <c r="J15" s="223">
        <f>'WACC BIPT 2019'!J19</f>
        <v>0.738283532148726</v>
      </c>
      <c r="K15" s="223">
        <f>'WACC BIPT 2019'!K19</f>
        <v>0.74832083320604748</v>
      </c>
      <c r="L15" s="224">
        <f>'WACC BIPT 2019'!AV19</f>
        <v>0.55693307500686373</v>
      </c>
      <c r="M15" s="82"/>
    </row>
    <row r="16" spans="1:29">
      <c r="A16" s="41" t="s">
        <v>68</v>
      </c>
      <c r="B16" s="41" t="s">
        <v>69</v>
      </c>
      <c r="C16" s="35">
        <f>'WACC BIPT 2019'!E20</f>
        <v>0.14030879966998169</v>
      </c>
      <c r="D16" s="35">
        <f>'WACC BIPT 2019'!F20</f>
        <v>0.14030879966998169</v>
      </c>
      <c r="E16" s="82">
        <f>'WACC BIPT 2019'!AS20</f>
        <v>0.22151118186029947</v>
      </c>
      <c r="F16" s="35">
        <f>'WACC BIPT 2019'!G20</f>
        <v>0.18897639961861196</v>
      </c>
      <c r="G16" s="35">
        <f>'WACC BIPT 2019'!H20</f>
        <v>0.18897639961861196</v>
      </c>
      <c r="H16" s="35">
        <f>'WACC BIPT 2019'!I20</f>
        <v>0.18897639961861196</v>
      </c>
      <c r="I16" s="82">
        <f>'WACC BIPT 2019'!AT20</f>
        <v>0.36449099131684154</v>
      </c>
      <c r="J16" s="35">
        <f>'WACC BIPT 2019'!J20</f>
        <v>0.16591299767145365</v>
      </c>
      <c r="K16" s="35">
        <f>'WACC BIPT 2019'!K20</f>
        <v>0.1976367116612936</v>
      </c>
      <c r="L16" s="82">
        <f>'WACC BIPT 2019'!AV20</f>
        <v>0.29832216062752187</v>
      </c>
      <c r="M16" s="82"/>
    </row>
    <row r="17" spans="1:16">
      <c r="A17" s="41" t="s">
        <v>10</v>
      </c>
      <c r="B17" s="41" t="s">
        <v>34</v>
      </c>
      <c r="C17" s="35">
        <f>'WACC BIPT 2019'!E22</f>
        <v>1.046265434182523</v>
      </c>
      <c r="D17" s="35">
        <f>'WACC BIPT 2019'!F22</f>
        <v>1.0635299624476282</v>
      </c>
      <c r="E17" s="82">
        <f>'WACC BIPT 2019'!AS22</f>
        <v>0.78091896020463247</v>
      </c>
      <c r="F17" s="35">
        <f>'WACC BIPT 2019'!G22</f>
        <v>1.3344445981499056</v>
      </c>
      <c r="G17" s="35">
        <f>'WACC BIPT 2019'!H22</f>
        <v>1.0419221796622886</v>
      </c>
      <c r="H17" s="35">
        <f>'WACC BIPT 2019'!I22</f>
        <v>1.0565139548323812</v>
      </c>
      <c r="I17" s="82">
        <f>'WACC BIPT 2019'!AT22</f>
        <v>0.71257411825057959</v>
      </c>
      <c r="J17" s="35">
        <f>'WACC BIPT 2019'!J22</f>
        <v>1.0189802287613974</v>
      </c>
      <c r="K17" s="35">
        <f>'WACC BIPT 2019'!K22</f>
        <v>1.0069145210907284</v>
      </c>
      <c r="L17" s="82">
        <f>'WACC BIPT 2019'!AV22</f>
        <v>0.74420304748845612</v>
      </c>
      <c r="M17" s="82"/>
    </row>
    <row r="18" spans="1:16">
      <c r="A18" s="41"/>
      <c r="B18" s="46"/>
      <c r="C18"/>
      <c r="D18"/>
      <c r="E18"/>
      <c r="F18"/>
      <c r="G18"/>
      <c r="H18"/>
      <c r="I18"/>
      <c r="J18"/>
      <c r="K18"/>
      <c r="L18"/>
      <c r="M18" s="98"/>
    </row>
    <row r="19" spans="1:16">
      <c r="A19" s="73" t="s">
        <v>76</v>
      </c>
      <c r="B19" s="46"/>
      <c r="C19" s="35"/>
      <c r="D19" s="35"/>
      <c r="E19" s="82"/>
      <c r="F19" s="35"/>
      <c r="G19" s="35"/>
      <c r="H19" s="35"/>
      <c r="I19" s="82"/>
      <c r="J19" s="35"/>
      <c r="K19" s="35"/>
      <c r="L19" s="82"/>
      <c r="M19" s="82"/>
    </row>
    <row r="20" spans="1:16">
      <c r="A20" s="45" t="s">
        <v>65</v>
      </c>
      <c r="B20" s="45" t="s">
        <v>59</v>
      </c>
      <c r="C20" s="225">
        <f>'WACC BIPT 2019'!E14</f>
        <v>2.2542079038852157E-2</v>
      </c>
      <c r="D20" s="226">
        <f>'WACC BIPT 2019'!F14</f>
        <v>2.2542079038852157E-2</v>
      </c>
      <c r="E20" s="83">
        <f>'WACC BIPT 2019'!AS14</f>
        <v>4.4450887803315027E-2</v>
      </c>
      <c r="F20" s="226">
        <f>'WACC BIPT 2019'!G14</f>
        <v>2.8095582223565528E-2</v>
      </c>
      <c r="G20" s="225">
        <f>'WACC BIPT 2019'!H14</f>
        <v>2.8095582223565528E-2</v>
      </c>
      <c r="H20" s="226">
        <f>'WACC BIPT 2019'!I14</f>
        <v>2.8095582223565528E-2</v>
      </c>
      <c r="I20" s="83">
        <f>'WACC BIPT 2019'!AT14</f>
        <v>7.9843999905225851E-2</v>
      </c>
      <c r="J20" s="225">
        <f>'WACC BIPT 2019'!J14</f>
        <v>2.5318830631208843E-2</v>
      </c>
      <c r="K20" s="226">
        <f>'WACC BIPT 2019'!K14</f>
        <v>3.1349149102546429E-2</v>
      </c>
      <c r="L20" s="83">
        <f>'WACC BIPT 2019'!AV14</f>
        <v>5.0774690351085734E-2</v>
      </c>
      <c r="M20" s="219"/>
    </row>
    <row r="21" spans="1:16">
      <c r="A21" s="41" t="s">
        <v>64</v>
      </c>
      <c r="B21" s="41" t="s">
        <v>66</v>
      </c>
      <c r="C21" s="94">
        <f>'WACC BIPT 2019'!E25</f>
        <v>7.8728444175045292E-2</v>
      </c>
      <c r="D21" s="227">
        <f>'WACC BIPT 2019'!F25</f>
        <v>7.9892082603380946E-2</v>
      </c>
      <c r="E21" s="219">
        <f>'WACC BIPT 2019'!AS25</f>
        <v>7.3481932399259209E-2</v>
      </c>
      <c r="F21" s="227">
        <f>'WACC BIPT 2019'!G25</f>
        <v>9.815187378104652E-2</v>
      </c>
      <c r="G21" s="94">
        <f>'WACC BIPT 2019'!H25</f>
        <v>7.8435706500074906E-2</v>
      </c>
      <c r="H21" s="227">
        <f>'WACC BIPT 2019'!I25</f>
        <v>7.9419199941935845E-2</v>
      </c>
      <c r="I21" s="219">
        <f>'WACC BIPT 2019'!AT25</f>
        <v>6.9801235203640483E-2</v>
      </c>
      <c r="J21" s="94">
        <f>'WACC BIPT 2019'!J25</f>
        <v>7.6889406753025066E-2</v>
      </c>
      <c r="K21" s="227">
        <f>'WACC BIPT 2019'!K25</f>
        <v>7.6076171610131971E-2</v>
      </c>
      <c r="L21" s="219">
        <f>'WACC BIPT 2019'!AV25</f>
        <v>7.1504604584822745E-2</v>
      </c>
      <c r="M21" s="84"/>
    </row>
    <row r="22" spans="1:16">
      <c r="A22" s="68" t="s">
        <v>67</v>
      </c>
      <c r="B22" s="68" t="s">
        <v>60</v>
      </c>
      <c r="C22" s="71">
        <f>'WACC BIPT 2019'!E27</f>
        <v>7.5355191028113097E-2</v>
      </c>
      <c r="D22" s="70">
        <f>'WACC BIPT 2019'!$F$27</f>
        <v>7.1217050312156124E-2</v>
      </c>
      <c r="E22" s="85">
        <f>'WACC BIPT 2019'!AS27</f>
        <v>8.3234621766303613E-2</v>
      </c>
      <c r="F22" s="228">
        <f>'WACC BIPT 2019'!G27</f>
        <v>8.768058497633606E-2</v>
      </c>
      <c r="G22" s="71">
        <f>'WACC BIPT 2019'!H27</f>
        <v>7.5991828372609538E-2</v>
      </c>
      <c r="H22" s="70">
        <f>'WACC BIPT 2019'!I27</f>
        <v>7.3945823691145801E-2</v>
      </c>
      <c r="I22" s="85">
        <f>'WACC BIPT 2019'!AT27</f>
        <v>9.4865666777512653E-2</v>
      </c>
      <c r="J22" s="71">
        <f>'WACC BIPT 2019'!J27</f>
        <v>8.1590602953316854E-2</v>
      </c>
      <c r="K22" s="70">
        <f>'WACC BIPT 2019'!$K$27</f>
        <v>8.3529076675368547E-2</v>
      </c>
      <c r="L22" s="85">
        <f>'WACC BIPT 2019'!AV27</f>
        <v>8.4153230361328435E-2</v>
      </c>
      <c r="M22" s="84"/>
    </row>
    <row r="23" spans="1:16">
      <c r="A23" s="41" t="s">
        <v>77</v>
      </c>
      <c r="B23" s="41" t="s">
        <v>61</v>
      </c>
      <c r="C23" s="48"/>
      <c r="D23" s="48"/>
      <c r="E23" s="86">
        <f>'WACC BIPT 2019'!AS29</f>
        <v>1.8898687247344555E-3</v>
      </c>
      <c r="F23" s="48"/>
      <c r="G23" s="72"/>
      <c r="H23" s="48"/>
      <c r="I23" s="86">
        <f>'WACC BIPT 2019'!AT29</f>
        <v>1.1629961382981263E-3</v>
      </c>
      <c r="J23" s="72"/>
      <c r="K23" s="72"/>
      <c r="L23" s="86">
        <f>'WACC BIPT 2019'!AV29</f>
        <v>2.8482714003741161E-3</v>
      </c>
      <c r="M23" s="86"/>
    </row>
    <row r="24" spans="1:16">
      <c r="A24" s="41" t="s">
        <v>78</v>
      </c>
      <c r="B24" s="41" t="s">
        <v>62</v>
      </c>
      <c r="C24" s="34"/>
      <c r="D24" s="39"/>
      <c r="E24" s="84">
        <f>'WACC BIPT 2019'!AS31</f>
        <v>8.1344753041569157E-2</v>
      </c>
      <c r="F24" s="39"/>
      <c r="G24" s="34"/>
      <c r="H24" s="39"/>
      <c r="I24" s="84">
        <f>'WACC BIPT 2019'!AT31</f>
        <v>9.370267063921453E-2</v>
      </c>
      <c r="J24" s="34"/>
      <c r="K24" s="39"/>
      <c r="L24" s="84">
        <f>'WACC BIPT 2019'!AV31</f>
        <v>8.1304958960954313E-2</v>
      </c>
      <c r="M24" s="84"/>
    </row>
    <row r="25" spans="1:16">
      <c r="A25" s="88" t="s">
        <v>262</v>
      </c>
      <c r="B25" s="89"/>
      <c r="C25" s="92">
        <f>'WACC BIPT 2019'!AJ31</f>
        <v>1.6834602376826352E-3</v>
      </c>
      <c r="D25" s="229">
        <f>'WACC BIPT 2019'!AK31</f>
        <v>-1.0127702729413032E-2</v>
      </c>
      <c r="E25" s="229"/>
      <c r="F25" s="90"/>
      <c r="G25" s="92">
        <f>'WACC BIPT 2019'!AL31</f>
        <v>-1.7710842266604993E-2</v>
      </c>
      <c r="H25" s="229">
        <f>'WACC BIPT 2019'!I31-'WACC BIPT 2019'!AT31</f>
        <v>-1.9756846948068729E-2</v>
      </c>
      <c r="I25" s="229"/>
      <c r="J25" s="92">
        <f>'WACC BIPT 2019'!AM31</f>
        <v>2.8564399236254145E-4</v>
      </c>
      <c r="K25" s="90">
        <f>'WACC BIPT 2019'!AN31</f>
        <v>2.2241177144142338E-3</v>
      </c>
      <c r="L25" s="91"/>
      <c r="M25" s="220"/>
    </row>
    <row r="26" spans="1:16">
      <c r="A26" s="41" t="s">
        <v>199</v>
      </c>
      <c r="B26"/>
      <c r="C26" s="257">
        <f>C22-$D$22</f>
        <v>4.1381407159569727E-3</v>
      </c>
      <c r="D26" s="257">
        <f>D22-$D$22</f>
        <v>0</v>
      </c>
      <c r="E26" s="255"/>
      <c r="F26" s="256">
        <f>F22-$D$22</f>
        <v>1.6463534664179935E-2</v>
      </c>
      <c r="G26" s="257">
        <f>G22-$D$22</f>
        <v>4.7747780604534135E-3</v>
      </c>
      <c r="H26" s="256">
        <f>H22-$D$22</f>
        <v>2.7287733789896768E-3</v>
      </c>
      <c r="I26" s="255"/>
      <c r="J26" s="257">
        <f>J22-$D$22</f>
        <v>1.037355264116073E-2</v>
      </c>
      <c r="K26" s="256">
        <f>K22-$D$22</f>
        <v>1.2312026363212422E-2</v>
      </c>
      <c r="L26" s="48"/>
      <c r="M26" s="87"/>
      <c r="O26" s="384"/>
      <c r="P26" s="383"/>
    </row>
    <row r="27" spans="1:16">
      <c r="A27" s="41"/>
      <c r="B27"/>
      <c r="C27" s="257"/>
      <c r="D27" s="257"/>
      <c r="E27" s="255"/>
      <c r="F27" s="256"/>
      <c r="G27" s="257"/>
      <c r="H27" s="256"/>
      <c r="I27" s="255"/>
      <c r="J27" s="257"/>
      <c r="K27" s="256"/>
      <c r="L27" s="48"/>
      <c r="M27" s="87"/>
      <c r="O27" s="384"/>
      <c r="P27" s="383"/>
    </row>
    <row r="28" spans="1:16" s="500" customFormat="1">
      <c r="A28" s="496" t="s">
        <v>67</v>
      </c>
      <c r="B28" s="496" t="s">
        <v>60</v>
      </c>
      <c r="C28" s="497">
        <f>C22</f>
        <v>7.5355191028113097E-2</v>
      </c>
      <c r="D28" s="498">
        <f t="shared" ref="D28:K28" si="0">D22</f>
        <v>7.1217050312156124E-2</v>
      </c>
      <c r="E28" s="499"/>
      <c r="F28" s="499">
        <f t="shared" si="0"/>
        <v>8.768058497633606E-2</v>
      </c>
      <c r="G28" s="497">
        <f t="shared" si="0"/>
        <v>7.5991828372609538E-2</v>
      </c>
      <c r="H28" s="498">
        <f t="shared" si="0"/>
        <v>7.3945823691145801E-2</v>
      </c>
      <c r="I28" s="499"/>
      <c r="J28" s="497">
        <f t="shared" si="0"/>
        <v>8.1590602953316854E-2</v>
      </c>
      <c r="K28" s="498">
        <f t="shared" si="0"/>
        <v>8.3529076675368547E-2</v>
      </c>
      <c r="L28" s="499"/>
      <c r="M28" s="496"/>
      <c r="O28" s="501"/>
    </row>
    <row r="29" spans="1:16">
      <c r="A29" s="41"/>
      <c r="B29"/>
      <c r="C29"/>
      <c r="D29" s="75"/>
      <c r="E29" s="87"/>
      <c r="F29" s="87"/>
      <c r="G29"/>
      <c r="H29" s="76"/>
      <c r="I29" s="87"/>
      <c r="J29" s="76"/>
      <c r="K29" s="87"/>
      <c r="L29" s="75"/>
      <c r="M29" s="87"/>
      <c r="O29" s="384"/>
      <c r="P29" s="383"/>
    </row>
    <row r="30" spans="1:16">
      <c r="A30" s="383"/>
      <c r="D30" s="385"/>
      <c r="E30" s="386"/>
      <c r="F30" s="386"/>
      <c r="H30" s="387"/>
      <c r="I30" s="386"/>
      <c r="J30" s="387"/>
      <c r="K30" s="386"/>
      <c r="L30" s="385"/>
      <c r="M30" s="386"/>
      <c r="O30" s="384"/>
      <c r="P30" s="383"/>
    </row>
    <row r="31" spans="1:16">
      <c r="A31" s="41"/>
      <c r="B31"/>
      <c r="C31"/>
      <c r="D31" s="75"/>
      <c r="E31" s="87"/>
      <c r="F31" s="87"/>
      <c r="G31"/>
      <c r="H31" s="76"/>
      <c r="I31" s="87"/>
      <c r="J31" s="76"/>
      <c r="K31" s="87"/>
      <c r="L31" s="75"/>
      <c r="M31" s="87"/>
      <c r="O31" s="384"/>
      <c r="P31" s="383"/>
    </row>
    <row r="32" spans="1:16">
      <c r="A32" s="41" t="s">
        <v>239</v>
      </c>
      <c r="B32" s="87"/>
      <c r="C32" s="41" t="s">
        <v>1</v>
      </c>
      <c r="D32" s="73"/>
      <c r="E32" s="41"/>
      <c r="F32" s="73"/>
      <c r="G32" s="41" t="s">
        <v>25</v>
      </c>
      <c r="H32" s="73"/>
      <c r="I32" s="41"/>
      <c r="J32" s="41" t="s">
        <v>86</v>
      </c>
      <c r="K32" s="73"/>
      <c r="L32"/>
      <c r="M32"/>
      <c r="O32" s="384"/>
      <c r="P32" s="383"/>
    </row>
    <row r="33" spans="1:29">
      <c r="A33" s="230" t="s">
        <v>110</v>
      </c>
      <c r="B33"/>
      <c r="C33" s="218">
        <v>0.38698300737415842</v>
      </c>
      <c r="D33" s="624">
        <v>6.0000000000000001E-3</v>
      </c>
      <c r="E33" s="230"/>
      <c r="F33" s="230"/>
      <c r="G33" s="218">
        <v>0.24265582275818551</v>
      </c>
      <c r="H33" s="86"/>
      <c r="I33" s="230"/>
      <c r="J33" s="218">
        <v>0.93198789101917257</v>
      </c>
      <c r="K33" s="87"/>
      <c r="L33" s="75"/>
      <c r="M33" s="87"/>
      <c r="O33" s="384"/>
      <c r="P33" s="383"/>
    </row>
    <row r="34" spans="1:29">
      <c r="A34" s="230" t="s">
        <v>240</v>
      </c>
      <c r="B34"/>
      <c r="C34" s="80">
        <f>(C33*(1-D33))*$K$22+C33*D33*F22+(1-C33)*$D$22</f>
        <v>7.5991234680066674E-2</v>
      </c>
      <c r="D34" s="84"/>
      <c r="E34" s="230"/>
      <c r="F34" s="230"/>
      <c r="G34" s="80">
        <f>G33*$K$22+(1-G33)*H22</f>
        <v>7.6271255828732204E-2</v>
      </c>
      <c r="H34" s="86"/>
      <c r="I34" s="230"/>
      <c r="J34" s="80">
        <f>J33*$K$22+(1-J33)*$D$22</f>
        <v>8.2691709796578916E-2</v>
      </c>
      <c r="K34" s="588"/>
      <c r="L34" s="390" t="s">
        <v>321</v>
      </c>
      <c r="M34" s="82">
        <f>(1-K11)/(1-29%)+K11</f>
        <v>1.2779358517308843</v>
      </c>
      <c r="O34" s="384"/>
      <c r="P34" s="383"/>
    </row>
    <row r="35" spans="1:29">
      <c r="A35" s="230" t="s">
        <v>241</v>
      </c>
      <c r="B35"/>
      <c r="C35" s="80">
        <f>C34-'WACC BIPT 2019'!E31</f>
        <v>6.3604365195357726E-4</v>
      </c>
      <c r="D35" s="84"/>
      <c r="E35" s="230"/>
      <c r="F35" s="230"/>
      <c r="G35" s="80">
        <f>G34-'WACC BIPT 2019'!H31</f>
        <v>2.7942745612266617E-4</v>
      </c>
      <c r="H35" s="86"/>
      <c r="I35" s="230"/>
      <c r="J35" s="80">
        <f>J34-'WACC BIPT 2019'!J31</f>
        <v>1.1011068432620619E-3</v>
      </c>
      <c r="K35" s="87"/>
      <c r="L35" s="390" t="s">
        <v>242</v>
      </c>
      <c r="M35" s="80">
        <f>M34*D7</f>
        <v>1.0491335730664551E-2</v>
      </c>
      <c r="O35" s="384"/>
      <c r="P35" s="383"/>
    </row>
    <row r="36" spans="1:29">
      <c r="A36" s="41"/>
      <c r="B36" s="46"/>
      <c r="C36" s="35"/>
      <c r="D36" s="98"/>
      <c r="E36" s="35"/>
      <c r="F36" s="35"/>
      <c r="G36" s="307"/>
      <c r="H36" s="35"/>
      <c r="I36" s="307"/>
      <c r="J36" s="35"/>
      <c r="K36" s="98"/>
      <c r="L36"/>
      <c r="M36"/>
    </row>
    <row r="37" spans="1:29">
      <c r="E37" s="585"/>
      <c r="G37" s="536"/>
      <c r="H37" s="536"/>
    </row>
    <row r="38" spans="1:29">
      <c r="A38" s="389">
        <f>'WACC BIPT 2019'!$B$1</f>
        <v>2019</v>
      </c>
      <c r="B38"/>
      <c r="C38"/>
      <c r="D38" s="42" t="str">
        <f>CONCATENATE("Ecarts Absolus entre WACC ",'WACC BIPT 2019'!$B$1," et WACC 2018e")</f>
        <v>Ecarts Absolus entre WACC 2019 et WACC 2018e</v>
      </c>
      <c r="E38" s="42"/>
      <c r="F38" s="42"/>
      <c r="G38"/>
      <c r="H38" s="35"/>
      <c r="I38"/>
      <c r="J38"/>
      <c r="K38"/>
      <c r="L38"/>
      <c r="M38"/>
      <c r="N38" s="382"/>
      <c r="R38" s="383"/>
      <c r="S38" s="383"/>
      <c r="U38" s="383"/>
      <c r="W38" s="383"/>
      <c r="X38" s="383"/>
      <c r="Y38" s="383"/>
      <c r="Z38" s="383"/>
      <c r="AA38" s="383"/>
      <c r="AB38" s="383"/>
      <c r="AC38" s="383"/>
    </row>
    <row r="39" spans="1:29">
      <c r="A39"/>
      <c r="B39"/>
      <c r="C39"/>
      <c r="D39"/>
      <c r="E39"/>
      <c r="F39"/>
      <c r="G39"/>
      <c r="H39"/>
      <c r="I39"/>
      <c r="J39"/>
      <c r="K39"/>
      <c r="L39"/>
      <c r="M39"/>
      <c r="N39" s="382"/>
      <c r="R39" s="383"/>
      <c r="S39" s="383"/>
      <c r="U39" s="383"/>
      <c r="W39" s="383"/>
      <c r="X39" s="383"/>
      <c r="Y39" s="383"/>
      <c r="Z39" s="383"/>
      <c r="AA39" s="383"/>
      <c r="AB39" s="383"/>
      <c r="AC39" s="383"/>
    </row>
    <row r="40" spans="1:29">
      <c r="A40" s="73" t="s">
        <v>74</v>
      </c>
      <c r="B40" s="95" t="s">
        <v>58</v>
      </c>
      <c r="C40" s="96"/>
      <c r="D40" s="221">
        <f>A38</f>
        <v>2019</v>
      </c>
      <c r="E40" s="221"/>
      <c r="F40" s="96"/>
      <c r="G40" s="96"/>
      <c r="H40" s="96"/>
      <c r="I40" s="96"/>
      <c r="J40"/>
      <c r="K40"/>
      <c r="L40" s="96"/>
      <c r="M40" s="96"/>
    </row>
    <row r="41" spans="1:29">
      <c r="A41" s="512" t="s">
        <v>272</v>
      </c>
      <c r="B41" s="512" t="s">
        <v>286</v>
      </c>
      <c r="C41" s="38"/>
      <c r="D41" s="493">
        <f>'WACC BIPT 2019'!P7</f>
        <v>5.8000000000000274E-3</v>
      </c>
      <c r="E41" s="38"/>
      <c r="F41" s="38"/>
      <c r="G41" s="38"/>
      <c r="H41" s="38"/>
      <c r="I41" s="38"/>
      <c r="J41"/>
      <c r="K41"/>
      <c r="L41" s="494"/>
      <c r="M41" s="37"/>
    </row>
    <row r="42" spans="1:29">
      <c r="A42" s="513" t="s">
        <v>273</v>
      </c>
      <c r="B42" s="516" t="s">
        <v>287</v>
      </c>
      <c r="C42" s="37"/>
      <c r="D42" s="75">
        <f>'WACC BIPT 2019'!P3</f>
        <v>-2.5589050375809611E-3</v>
      </c>
      <c r="E42" s="36"/>
      <c r="F42" s="37"/>
      <c r="G42" s="37"/>
      <c r="H42" s="37"/>
      <c r="I42" s="37"/>
      <c r="J42"/>
      <c r="K42"/>
      <c r="L42" s="37"/>
      <c r="M42" s="37"/>
    </row>
    <row r="43" spans="1:29">
      <c r="A43" s="513" t="s">
        <v>274</v>
      </c>
      <c r="B43" s="516" t="s">
        <v>288</v>
      </c>
      <c r="C43" s="37"/>
      <c r="D43" s="75">
        <f>'WACC BIPT 2019'!P5</f>
        <v>4.600534232237774E-3</v>
      </c>
      <c r="E43" s="504" t="str">
        <f>CONCATENATE("(RM* : ",ROUND('WACC BIPT 2019'!P6*100,2),"%)")</f>
        <v>(RM* : 0,2%)</v>
      </c>
      <c r="F43" s="37"/>
      <c r="G43" s="37"/>
      <c r="H43" s="37"/>
      <c r="I43" s="37"/>
      <c r="J43"/>
      <c r="K43"/>
      <c r="L43" s="37"/>
      <c r="M43" s="37"/>
    </row>
    <row r="44" spans="1:29" s="503" customFormat="1">
      <c r="A44" s="230"/>
      <c r="B44" s="230"/>
      <c r="C44" s="80"/>
      <c r="D44" s="230"/>
      <c r="E44" s="80"/>
      <c r="F44" s="80"/>
      <c r="G44" s="80"/>
      <c r="H44" s="80"/>
      <c r="I44" s="80"/>
      <c r="J44" s="230"/>
      <c r="K44" s="230"/>
      <c r="L44" s="80"/>
      <c r="M44" s="80"/>
    </row>
    <row r="45" spans="1:29">
      <c r="A45" s="73" t="s">
        <v>75</v>
      </c>
      <c r="B45" s="41"/>
      <c r="C45" s="44" t="s">
        <v>1</v>
      </c>
      <c r="D45" s="43" t="s">
        <v>102</v>
      </c>
      <c r="E45" s="43" t="s">
        <v>88</v>
      </c>
      <c r="F45" s="44" t="s">
        <v>25</v>
      </c>
      <c r="G45" s="43" t="s">
        <v>103</v>
      </c>
      <c r="H45" s="44" t="s">
        <v>86</v>
      </c>
      <c r="I45" s="43" t="s">
        <v>15</v>
      </c>
      <c r="J45"/>
      <c r="K45"/>
      <c r="L45" s="41"/>
      <c r="M45" s="87"/>
    </row>
    <row r="46" spans="1:29">
      <c r="A46" s="512" t="s">
        <v>275</v>
      </c>
      <c r="B46" s="517" t="s">
        <v>289</v>
      </c>
      <c r="C46" s="74">
        <f>'WACC BIPT 2019'!O9</f>
        <v>5.8298457005338533E-2</v>
      </c>
      <c r="D46" s="509">
        <f>'WACC BIPT 2019'!P9</f>
        <v>7.4573381695757224E-2</v>
      </c>
      <c r="E46" s="509">
        <f>'WACC BIPT 2019'!Q9</f>
        <v>7.4573381695757224E-2</v>
      </c>
      <c r="F46" s="74">
        <f>'WACC BIPT 2019'!R9</f>
        <v>7.4926207709811954E-2</v>
      </c>
      <c r="G46" s="509">
        <f>'WACC BIPT 2019'!S9</f>
        <v>8.8570907233539775E-2</v>
      </c>
      <c r="H46" s="74">
        <f>'WACC BIPT 2019'!T9</f>
        <v>3.9044049967822514E-2</v>
      </c>
      <c r="I46" s="509">
        <f>'WACC BIPT 2019'!U9</f>
        <v>2.9536363003697386E-2</v>
      </c>
      <c r="J46"/>
      <c r="K46"/>
      <c r="L46" s="48"/>
      <c r="M46" s="218"/>
    </row>
    <row r="47" spans="1:29">
      <c r="A47" s="513"/>
      <c r="B47" s="516" t="s">
        <v>304</v>
      </c>
      <c r="C47" s="48">
        <f>'WACC BIPT 2019'!O10</f>
        <v>0.15157968559696011</v>
      </c>
      <c r="D47" s="508">
        <f>'WACC BIPT 2019'!P10</f>
        <v>0.22832530401657092</v>
      </c>
      <c r="E47" s="508">
        <f>'WACC BIPT 2019'!Q10</f>
        <v>0.22832530401657092</v>
      </c>
      <c r="F47" s="48">
        <f>'WACC BIPT 2019'!R10</f>
        <v>0.20044573466870685</v>
      </c>
      <c r="G47" s="508">
        <f>'WACC BIPT 2019'!S10</f>
        <v>0.25966233347785905</v>
      </c>
      <c r="H47" s="48">
        <f>'WACC BIPT 2019'!T10</f>
        <v>8.1960104341204709E-2</v>
      </c>
      <c r="I47" s="508">
        <f>'WACC BIPT 2019'!U10</f>
        <v>6.1135539081038692E-2</v>
      </c>
      <c r="J47"/>
      <c r="K47"/>
      <c r="L47" s="48"/>
      <c r="M47" s="218"/>
    </row>
    <row r="48" spans="1:29">
      <c r="A48" s="513" t="s">
        <v>276</v>
      </c>
      <c r="B48" s="516" t="s">
        <v>290</v>
      </c>
      <c r="C48" s="494" t="s">
        <v>268</v>
      </c>
      <c r="D48" s="508" t="s">
        <v>268</v>
      </c>
      <c r="E48" s="508" t="s">
        <v>268</v>
      </c>
      <c r="F48" s="494" t="s">
        <v>268</v>
      </c>
      <c r="G48" s="507" t="s">
        <v>269</v>
      </c>
      <c r="H48" s="494" t="s">
        <v>268</v>
      </c>
      <c r="I48" s="508" t="s">
        <v>268</v>
      </c>
      <c r="J48"/>
      <c r="K48" s="502" t="s">
        <v>270</v>
      </c>
      <c r="L48" s="47"/>
      <c r="M48" s="80"/>
    </row>
    <row r="49" spans="1:16">
      <c r="A49" s="513" t="s">
        <v>284</v>
      </c>
      <c r="B49" s="513" t="s">
        <v>291</v>
      </c>
      <c r="C49" s="34">
        <f>'WACC BIPT 2019'!O15</f>
        <v>-7.2292993630573496E-5</v>
      </c>
      <c r="D49" s="34">
        <f>'WACC BIPT 2019'!P15</f>
        <v>-7.2292993630573496E-5</v>
      </c>
      <c r="E49" s="34">
        <f>'WACC BIPT 2019'!Q15</f>
        <v>-9.1337579617837075E-4</v>
      </c>
      <c r="F49" s="34">
        <f>'WACC BIPT 2019'!R15</f>
        <v>-9.1337579617837075E-4</v>
      </c>
      <c r="G49" s="34">
        <f>'WACC BIPT 2019'!S15</f>
        <v>2.2839171974522003E-3</v>
      </c>
      <c r="H49" s="34">
        <f>'WACC BIPT 2019'!T15</f>
        <v>-4.9283439490448513E-4</v>
      </c>
      <c r="I49" s="34">
        <f>'WACC BIPT 2019'!U15</f>
        <v>-1.3640764331210205E-3</v>
      </c>
      <c r="J49"/>
      <c r="K49"/>
      <c r="L49" s="94"/>
      <c r="M49" s="80"/>
    </row>
    <row r="50" spans="1:16">
      <c r="A50" s="514" t="s">
        <v>277</v>
      </c>
      <c r="B50" s="519" t="s">
        <v>294</v>
      </c>
      <c r="C50" s="69">
        <f>'WACC BIPT 2019'!O18</f>
        <v>0</v>
      </c>
      <c r="D50" s="506">
        <f>'WACC BIPT 2019'!P18</f>
        <v>-3.6622444734600079E-2</v>
      </c>
      <c r="E50" s="506">
        <f>'WACC BIPT 2019'!Q18</f>
        <v>0</v>
      </c>
      <c r="F50" s="69">
        <f>'WACC BIPT 2019'!R18</f>
        <v>0</v>
      </c>
      <c r="G50" s="505">
        <f>'WACC BIPT 2019'!S18</f>
        <v>-1.7600793139534776E-2</v>
      </c>
      <c r="H50" s="69">
        <f>'WACC BIPT 2019'!T18</f>
        <v>5.0000000000000044E-2</v>
      </c>
      <c r="I50" s="505">
        <f>'WACC BIPT 2019'!U18</f>
        <v>5.5804121111060923E-2</v>
      </c>
      <c r="J50"/>
      <c r="K50"/>
      <c r="L50" s="82"/>
      <c r="M50" s="82"/>
    </row>
    <row r="51" spans="1:16">
      <c r="A51" s="513" t="s">
        <v>278</v>
      </c>
      <c r="B51" s="518" t="s">
        <v>292</v>
      </c>
      <c r="C51" s="223">
        <f>'WACC BIPT 2019'!O19</f>
        <v>-1.2854263641793096E-2</v>
      </c>
      <c r="D51" s="223">
        <f>'WACC BIPT 2019'!P19</f>
        <v>-4.7646617246350775E-2</v>
      </c>
      <c r="E51" s="223">
        <f>'WACC BIPT 2019'!Q19</f>
        <v>-2.0052415615923525E-2</v>
      </c>
      <c r="F51" s="223">
        <f>'WACC BIPT 2019'!R19</f>
        <v>-1.604963783432134E-2</v>
      </c>
      <c r="G51" s="223">
        <f>'WACC BIPT 2019'!S19</f>
        <v>-3.0551443531023681E-2</v>
      </c>
      <c r="H51" s="223">
        <f>'WACC BIPT 2019'!T19</f>
        <v>3.5907869346403554E-2</v>
      </c>
      <c r="I51" s="223">
        <f>'WACC BIPT 2019'!U19</f>
        <v>4.2302686558312597E-2</v>
      </c>
      <c r="J51"/>
      <c r="K51"/>
      <c r="L51" s="224"/>
      <c r="M51" s="82"/>
    </row>
    <row r="52" spans="1:16">
      <c r="A52" s="513" t="s">
        <v>279</v>
      </c>
      <c r="B52" s="513" t="s">
        <v>293</v>
      </c>
      <c r="C52" s="35">
        <f>'WACC BIPT 2019'!O20</f>
        <v>-1.0863632242295279E-2</v>
      </c>
      <c r="D52" s="35">
        <f>'WACC BIPT 2019'!P20</f>
        <v>-1.0863632242295279E-2</v>
      </c>
      <c r="E52" s="35">
        <f>'WACC BIPT 2019'!Q20</f>
        <v>-2.440095802240469E-2</v>
      </c>
      <c r="F52" s="35">
        <f>'WACC BIPT 2019'!R20</f>
        <v>-2.440095802240469E-2</v>
      </c>
      <c r="G52" s="35">
        <f>'WACC BIPT 2019'!S20</f>
        <v>5.2586492937319873E-3</v>
      </c>
      <c r="H52" s="35">
        <f>'WACC BIPT 2019'!T20</f>
        <v>-1.780475265342632E-2</v>
      </c>
      <c r="I52" s="35">
        <f>'WACC BIPT 2019'!U20</f>
        <v>-2.9392380463972051E-2</v>
      </c>
      <c r="J52"/>
      <c r="K52"/>
      <c r="L52" s="82"/>
      <c r="M52" s="82"/>
    </row>
    <row r="53" spans="1:16">
      <c r="A53" s="513" t="s">
        <v>280</v>
      </c>
      <c r="B53" s="516" t="s">
        <v>295</v>
      </c>
      <c r="C53" s="35">
        <f>'WACC BIPT 2019'!O22</f>
        <v>6.7329048536678204E-2</v>
      </c>
      <c r="D53" s="510">
        <f>'WACC BIPT 2019'!P22</f>
        <v>4.1701513917315802E-2</v>
      </c>
      <c r="E53" s="510">
        <f>'WACC BIPT 2019'!Q22</f>
        <v>0.12276294295449164</v>
      </c>
      <c r="F53" s="35">
        <f>'WACC BIPT 2019'!R22</f>
        <v>8.6767215621969651E-2</v>
      </c>
      <c r="G53" s="510">
        <f>'WACC BIPT 2019'!S22</f>
        <v>7.0383245324993959E-2</v>
      </c>
      <c r="H53" s="35">
        <f>'WACC BIPT 2019'!T22</f>
        <v>0.10475837635561258</v>
      </c>
      <c r="I53" s="510">
        <f>'WACC BIPT 2019'!U22</f>
        <v>0.10525295780705546</v>
      </c>
      <c r="J53"/>
      <c r="K53"/>
      <c r="L53" s="82"/>
      <c r="M53" s="82"/>
    </row>
    <row r="54" spans="1:16">
      <c r="A54" s="41"/>
      <c r="B54" s="591"/>
      <c r="C54" s="592"/>
      <c r="D54" s="593"/>
      <c r="E54" s="593"/>
      <c r="F54" s="592"/>
      <c r="G54" s="593"/>
      <c r="H54" s="592"/>
      <c r="I54" s="593"/>
      <c r="J54"/>
      <c r="K54"/>
      <c r="L54"/>
      <c r="M54" s="98"/>
    </row>
    <row r="55" spans="1:16">
      <c r="A55" s="73" t="s">
        <v>76</v>
      </c>
      <c r="B55" s="46"/>
      <c r="C55" s="35"/>
      <c r="D55" s="35"/>
      <c r="E55" s="35"/>
      <c r="F55" s="35"/>
      <c r="G55" s="35"/>
      <c r="H55" s="35"/>
      <c r="I55" s="35"/>
      <c r="J55"/>
      <c r="K55"/>
      <c r="L55" s="82"/>
      <c r="M55" s="82"/>
    </row>
    <row r="56" spans="1:16">
      <c r="A56" s="512" t="s">
        <v>281</v>
      </c>
      <c r="B56" s="512" t="s">
        <v>296</v>
      </c>
      <c r="C56" s="495">
        <f>'WACC BIPT 2019'!O14</f>
        <v>-1.1311980312115333E-3</v>
      </c>
      <c r="D56" s="493">
        <f>'WACC BIPT 2019'!P14</f>
        <v>-1.1311980312115333E-3</v>
      </c>
      <c r="E56" s="493">
        <f>'WACC BIPT 2019'!Q14</f>
        <v>-1.9722808337593323E-3</v>
      </c>
      <c r="F56" s="493">
        <f>'WACC BIPT 2019'!R14</f>
        <v>-1.9722808337593323E-3</v>
      </c>
      <c r="G56" s="493">
        <f>'WACC BIPT 2019'!S14</f>
        <v>1.2250121598712388E-3</v>
      </c>
      <c r="H56" s="493">
        <f>'WACC BIPT 2019'!T14</f>
        <v>-1.5517394324854467E-3</v>
      </c>
      <c r="I56" s="493">
        <f>'WACC BIPT 2019'!U14</f>
        <v>-2.422981470701982E-3</v>
      </c>
      <c r="J56"/>
      <c r="K56"/>
      <c r="L56" s="219"/>
      <c r="M56" s="219"/>
    </row>
    <row r="57" spans="1:16">
      <c r="A57" s="513"/>
      <c r="B57" s="513" t="s">
        <v>299</v>
      </c>
      <c r="C57" s="34">
        <f>C56-('WACC BIPT 2019'!E13-'WACC BIPT 2019'!Y13)</f>
        <v>-2.6311980312115333E-3</v>
      </c>
      <c r="D57" s="34">
        <f>D56-('WACC BIPT 2019'!F13-'WACC BIPT 2019'!Z13)</f>
        <v>-2.6311980312115333E-3</v>
      </c>
      <c r="E57" s="34">
        <f>E56-('WACC BIPT 2019'!G13-'WACC BIPT 2019'!AA13)</f>
        <v>-3.4722808337593323E-3</v>
      </c>
      <c r="F57" s="34">
        <f>F56-('WACC BIPT 2019'!H13-'WACC BIPT 2019'!AB13)</f>
        <v>-3.4722808337593323E-3</v>
      </c>
      <c r="G57" s="34">
        <f>G56-('WACC BIPT 2019'!I13-'WACC BIPT 2019'!AC13)</f>
        <v>-2.7498784012876124E-4</v>
      </c>
      <c r="H57" s="34">
        <f>H56-('WACC BIPT 2019'!J13-'WACC BIPT 2019'!AD13)</f>
        <v>-3.0517394324854467E-3</v>
      </c>
      <c r="I57" s="34">
        <f>I56-('WACC BIPT 2019'!K13-'WACC BIPT 2019'!AE13)</f>
        <v>-3.9229814707019816E-3</v>
      </c>
      <c r="J57"/>
      <c r="K57"/>
      <c r="L57" s="219"/>
      <c r="M57" s="219"/>
    </row>
    <row r="58" spans="1:16">
      <c r="A58" s="513" t="s">
        <v>282</v>
      </c>
      <c r="B58" s="513" t="s">
        <v>297</v>
      </c>
      <c r="C58" s="34">
        <f>'WACC BIPT 2019'!O25</f>
        <v>6.4827391564862419E-3</v>
      </c>
      <c r="D58" s="511">
        <f>'WACC BIPT 2019'!P25</f>
        <v>4.9527560356773248E-3</v>
      </c>
      <c r="E58" s="511">
        <f>'WACC BIPT 2019'!Q25</f>
        <v>1.1289765834774534E-2</v>
      </c>
      <c r="F58" s="511">
        <f>'WACC BIPT 2019'!R25</f>
        <v>7.6834747583428842E-3</v>
      </c>
      <c r="G58" s="511">
        <f>'WACC BIPT 2019'!S25</f>
        <v>6.7216913848719279E-3</v>
      </c>
      <c r="H58" s="511">
        <f>'WACC BIPT 2019'!T25</f>
        <v>8.7077744219417885E-3</v>
      </c>
      <c r="I58" s="511">
        <f>'WACC BIPT 2019'!U25</f>
        <v>8.6833254359173218E-3</v>
      </c>
      <c r="J58"/>
      <c r="K58"/>
      <c r="L58" s="219"/>
      <c r="M58" s="84"/>
    </row>
    <row r="59" spans="1:16">
      <c r="A59" s="514" t="s">
        <v>283</v>
      </c>
      <c r="B59" s="607" t="s">
        <v>349</v>
      </c>
      <c r="C59" s="515">
        <f>'WACC BIPT 2019'!O27</f>
        <v>9.2910988167053954E-4</v>
      </c>
      <c r="D59" s="70">
        <f>'WACC BIPT 2019'!P27</f>
        <v>-2.4000195850267664E-3</v>
      </c>
      <c r="E59" s="70">
        <f>'WACC BIPT 2019'!Q27</f>
        <v>1.3261101484499105E-3</v>
      </c>
      <c r="F59" s="515">
        <f>'WACC BIPT 2019'!R27</f>
        <v>6.9490639814327737E-4</v>
      </c>
      <c r="G59" s="70">
        <f>'WACC BIPT 2019'!S27</f>
        <v>-5.0252721967497527E-4</v>
      </c>
      <c r="H59" s="515">
        <f>'WACC BIPT 2019'!T27</f>
        <v>5.6165053037622314E-3</v>
      </c>
      <c r="I59" s="70">
        <f>'WACC BIPT 2019'!U27</f>
        <v>6.3423126349118619E-3</v>
      </c>
      <c r="J59" s="39"/>
      <c r="K59" s="39"/>
      <c r="L59" s="48"/>
      <c r="M59" s="84"/>
    </row>
    <row r="60" spans="1:16">
      <c r="A60" s="514" t="s">
        <v>285</v>
      </c>
      <c r="B60" s="514" t="s">
        <v>298</v>
      </c>
      <c r="C60" s="70"/>
      <c r="D60" s="515"/>
      <c r="E60" s="70">
        <f>'WACC BIPT 2019'!Q32</f>
        <v>3.7261297334766769E-3</v>
      </c>
      <c r="F60" s="515"/>
      <c r="G60" s="70">
        <f>'WACC BIPT 2019'!S32</f>
        <v>1.8974923653517911E-3</v>
      </c>
      <c r="H60" s="515"/>
      <c r="I60" s="70">
        <f>'WACC BIPT 2019'!U32</f>
        <v>8.7423322199386283E-3</v>
      </c>
      <c r="J60"/>
      <c r="K60"/>
      <c r="L60" s="48"/>
      <c r="M60" s="87"/>
      <c r="O60" s="384"/>
      <c r="P60" s="383"/>
    </row>
    <row r="61" spans="1:16">
      <c r="A61" s="41"/>
      <c r="B61"/>
      <c r="C61" s="257"/>
      <c r="D61" s="257"/>
      <c r="E61" s="256"/>
      <c r="F61" s="257"/>
      <c r="G61" s="256"/>
      <c r="H61" s="257"/>
      <c r="I61" s="256"/>
      <c r="J61"/>
      <c r="K61"/>
      <c r="L61" s="48"/>
      <c r="M61" s="87"/>
      <c r="O61" s="384"/>
      <c r="P61" s="383"/>
    </row>
    <row r="62" spans="1:16" ht="5.4" customHeight="1">
      <c r="E62" s="585"/>
      <c r="G62" s="536"/>
      <c r="H62" s="536"/>
    </row>
    <row r="63" spans="1:16">
      <c r="A63" s="389">
        <f>'WACC BIPT 2019'!$B$1</f>
        <v>2019</v>
      </c>
      <c r="B63"/>
      <c r="C63" s="257"/>
      <c r="D63" s="42" t="str">
        <f>CONCATENATE("Ecarts Relatifs entre WACC ",'WACC BIPT 2019'!$B$1," et WACC 2018e")</f>
        <v>Ecarts Relatifs entre WACC 2019 et WACC 2018e</v>
      </c>
      <c r="E63" s="256"/>
      <c r="F63" s="257"/>
      <c r="G63" s="256"/>
      <c r="H63" s="257"/>
      <c r="I63"/>
      <c r="J63"/>
      <c r="K63"/>
      <c r="L63" s="48"/>
      <c r="M63" s="87"/>
      <c r="O63" s="384"/>
      <c r="P63" s="383"/>
    </row>
    <row r="64" spans="1:16">
      <c r="A64" s="41"/>
      <c r="B64"/>
      <c r="C64" s="257"/>
      <c r="D64" s="257"/>
      <c r="E64" s="256"/>
      <c r="F64" s="257"/>
      <c r="G64" s="256"/>
      <c r="H64" s="257"/>
      <c r="I64" s="256"/>
      <c r="J64"/>
      <c r="K64"/>
      <c r="L64" s="48"/>
      <c r="M64" s="87"/>
    </row>
    <row r="65" spans="1:13">
      <c r="A65" s="73" t="s">
        <v>74</v>
      </c>
      <c r="B65" s="95" t="s">
        <v>58</v>
      </c>
      <c r="C65" s="96"/>
      <c r="D65" s="221">
        <f>A63</f>
        <v>2019</v>
      </c>
      <c r="E65" s="221"/>
      <c r="F65" s="96"/>
      <c r="G65" s="96"/>
      <c r="H65" s="96"/>
      <c r="I65" s="96"/>
      <c r="J65"/>
      <c r="K65"/>
      <c r="L65" s="48"/>
      <c r="M65" s="87"/>
    </row>
    <row r="66" spans="1:13">
      <c r="A66" s="512" t="s">
        <v>322</v>
      </c>
      <c r="B66" s="512" t="s">
        <v>323</v>
      </c>
      <c r="C66" s="38"/>
      <c r="D66" s="97">
        <f>D41/'WACC BIPT 2019'!Z7</f>
        <v>2.0000000000000094E-2</v>
      </c>
      <c r="E66" s="38"/>
      <c r="F66" s="38"/>
      <c r="G66" s="38"/>
      <c r="H66" s="38"/>
      <c r="I66" s="38"/>
      <c r="J66"/>
      <c r="K66"/>
      <c r="L66" s="48"/>
      <c r="M66" s="87"/>
    </row>
    <row r="67" spans="1:13">
      <c r="A67" s="513" t="s">
        <v>325</v>
      </c>
      <c r="B67" s="516" t="s">
        <v>324</v>
      </c>
      <c r="C67" s="37"/>
      <c r="D67" s="594">
        <f>D42/'WACC BIPT 2019'!Z3</f>
        <v>-0.23762873543956553</v>
      </c>
      <c r="E67" s="36"/>
      <c r="F67" s="37"/>
      <c r="G67" s="37"/>
      <c r="H67" s="37"/>
      <c r="I67" s="37"/>
      <c r="J67"/>
      <c r="K67"/>
      <c r="L67" s="48"/>
      <c r="M67" s="87"/>
    </row>
    <row r="68" spans="1:13">
      <c r="A68" s="513" t="s">
        <v>326</v>
      </c>
      <c r="B68" s="516" t="s">
        <v>327</v>
      </c>
      <c r="C68" s="37"/>
      <c r="D68" s="594">
        <f>'To Ms Word A'!D43/'WACC BIPT 2019'!Z5</f>
        <v>7.3256914526079214E-2</v>
      </c>
      <c r="E68" s="608" t="str">
        <f>CONCATENATE("(RM* : ",ROUND('WACC BIPT 2019'!P6/'WACC BIPT 2019'!Z6*100,0),"%)")</f>
        <v>(RM* : 3%)</v>
      </c>
      <c r="F68" s="37"/>
      <c r="G68" s="37"/>
      <c r="H68" s="37"/>
      <c r="I68" s="37"/>
      <c r="J68"/>
      <c r="K68"/>
      <c r="L68" s="48"/>
      <c r="M68" s="87"/>
    </row>
    <row r="69" spans="1:13">
      <c r="A69" s="230"/>
      <c r="B69" s="230"/>
      <c r="C69" s="80"/>
      <c r="D69" s="230"/>
      <c r="E69" s="80"/>
      <c r="F69" s="80"/>
      <c r="G69" s="80"/>
      <c r="H69" s="80"/>
      <c r="I69" s="80"/>
      <c r="J69" s="230"/>
      <c r="K69" s="230"/>
      <c r="L69" s="48"/>
      <c r="M69" s="87"/>
    </row>
    <row r="70" spans="1:13">
      <c r="A70" s="73" t="s">
        <v>75</v>
      </c>
      <c r="B70" s="41"/>
      <c r="C70" s="44" t="s">
        <v>1</v>
      </c>
      <c r="D70" s="43" t="s">
        <v>102</v>
      </c>
      <c r="E70" s="43" t="s">
        <v>88</v>
      </c>
      <c r="F70" s="44" t="s">
        <v>25</v>
      </c>
      <c r="G70" s="43" t="s">
        <v>103</v>
      </c>
      <c r="H70" s="44" t="s">
        <v>86</v>
      </c>
      <c r="I70" s="43" t="s">
        <v>15</v>
      </c>
      <c r="J70"/>
      <c r="K70"/>
      <c r="L70" s="48"/>
      <c r="M70" s="87"/>
    </row>
    <row r="71" spans="1:13">
      <c r="A71" s="512" t="s">
        <v>328</v>
      </c>
      <c r="B71" s="517" t="s">
        <v>329</v>
      </c>
      <c r="C71" s="74">
        <f>C46/'WACC BIPT 2019'!Y9</f>
        <v>0.16656702001525298</v>
      </c>
      <c r="D71" s="509">
        <f>D46/'WACC BIPT 2019'!Z9</f>
        <v>0.19121379921989032</v>
      </c>
      <c r="E71" s="509">
        <f>E46/'WACC BIPT 2019'!AA9</f>
        <v>0.19121379921989032</v>
      </c>
      <c r="F71" s="74">
        <f>F46/'WACC BIPT 2019'!AB9</f>
        <v>0.2140748791708913</v>
      </c>
      <c r="G71" s="509">
        <f>G46/'WACC BIPT 2019'!AC9</f>
        <v>0.23938083036091831</v>
      </c>
      <c r="H71" s="74">
        <f>H46/'WACC BIPT 2019'!AD9</f>
        <v>0.13463465506145694</v>
      </c>
      <c r="I71" s="509">
        <f>I46/'WACC BIPT 2019'!AE9</f>
        <v>0.1018495275989565</v>
      </c>
      <c r="J71"/>
      <c r="K71"/>
      <c r="L71" s="48"/>
      <c r="M71" s="87"/>
    </row>
    <row r="72" spans="1:13">
      <c r="A72" s="513"/>
      <c r="B72" s="516" t="s">
        <v>330</v>
      </c>
      <c r="C72" s="48">
        <f>C47/'WACC BIPT 2019'!Y10</f>
        <v>0.28150513039435449</v>
      </c>
      <c r="D72" s="508">
        <f>D47/'WACC BIPT 2019'!Z10</f>
        <v>0.35712419346181601</v>
      </c>
      <c r="E72" s="508">
        <f>E47/'WACC BIPT 2019'!AA10</f>
        <v>0.35712419346181601</v>
      </c>
      <c r="F72" s="48">
        <f>F47/'WACC BIPT 2019'!AB10</f>
        <v>0.3722563643847413</v>
      </c>
      <c r="G72" s="508">
        <f>G47/'WACC BIPT 2019'!AC10</f>
        <v>0.44212775700284107</v>
      </c>
      <c r="H72" s="48">
        <f>H47/'WACC BIPT 2019'!AD10</f>
        <v>0.20066094511122531</v>
      </c>
      <c r="I72" s="508">
        <f>I47/'WACC BIPT 2019'!AE10</f>
        <v>0.14967666464668095</v>
      </c>
      <c r="J72"/>
      <c r="K72"/>
      <c r="L72" s="48"/>
      <c r="M72" s="87"/>
    </row>
    <row r="73" spans="1:13">
      <c r="A73" s="600" t="s">
        <v>331</v>
      </c>
      <c r="B73" s="601" t="s">
        <v>332</v>
      </c>
      <c r="C73" s="602" t="str">
        <f>C48</f>
        <v>=</v>
      </c>
      <c r="D73" s="603" t="str">
        <f t="shared" ref="D73:I73" si="1">D48</f>
        <v>=</v>
      </c>
      <c r="E73" s="603" t="str">
        <f t="shared" si="1"/>
        <v>=</v>
      </c>
      <c r="F73" s="602" t="str">
        <f t="shared" si="1"/>
        <v>=</v>
      </c>
      <c r="G73" s="604" t="str">
        <f t="shared" si="1"/>
        <v>-1 cran</v>
      </c>
      <c r="H73" s="602" t="str">
        <f t="shared" si="1"/>
        <v>=</v>
      </c>
      <c r="I73" s="603" t="str">
        <f t="shared" si="1"/>
        <v>=</v>
      </c>
      <c r="J73"/>
      <c r="K73" s="502"/>
      <c r="L73" s="48"/>
      <c r="M73" s="87"/>
    </row>
    <row r="74" spans="1:13">
      <c r="A74" s="513" t="s">
        <v>334</v>
      </c>
      <c r="B74" s="513" t="s">
        <v>333</v>
      </c>
      <c r="C74" s="48">
        <f>C49/'WACC BIPT 2019'!Y15</f>
        <v>-5.6020335134868539E-3</v>
      </c>
      <c r="D74" s="48">
        <f>D49/'WACC BIPT 2019'!Z15</f>
        <v>-5.6020335134868539E-3</v>
      </c>
      <c r="E74" s="48">
        <f>E49/'WACC BIPT 2019'!AA15</f>
        <v>-4.7326732673268666E-2</v>
      </c>
      <c r="F74" s="48">
        <f>F49/'WACC BIPT 2019'!AB15</f>
        <v>-4.7326732673268666E-2</v>
      </c>
      <c r="G74" s="48">
        <f>G49/'WACC BIPT 2019'!AC15</f>
        <v>0.14183997389266126</v>
      </c>
      <c r="H74" s="48">
        <f>H49/'WACC BIPT 2019'!AD15</f>
        <v>-3.0606896688127713E-2</v>
      </c>
      <c r="I74" s="48">
        <f>I49/'WACC BIPT 2019'!AE15</f>
        <v>-5.92983107069779E-2</v>
      </c>
      <c r="J74"/>
      <c r="K74"/>
      <c r="L74" s="48"/>
      <c r="M74" s="87"/>
    </row>
    <row r="75" spans="1:13">
      <c r="A75" s="514" t="s">
        <v>335</v>
      </c>
      <c r="B75" s="519" t="s">
        <v>342</v>
      </c>
      <c r="C75" s="595">
        <f>C50/'WACC BIPT 2019'!Y18</f>
        <v>0</v>
      </c>
      <c r="D75" s="596">
        <f>D50/'WACC BIPT 2019'!Z18</f>
        <v>-4.8829926312800108E-2</v>
      </c>
      <c r="E75" s="596">
        <f>E50/'WACC BIPT 2019'!AA18</f>
        <v>0</v>
      </c>
      <c r="F75" s="595">
        <f>F50/'WACC BIPT 2019'!AB18</f>
        <v>0</v>
      </c>
      <c r="G75" s="597">
        <f>G50/'WACC BIPT 2019'!AC18</f>
        <v>-2.3467724186046368E-2</v>
      </c>
      <c r="H75" s="595">
        <f>H50/'WACC BIPT 2019'!AD18</f>
        <v>6.6666666666666721E-2</v>
      </c>
      <c r="I75" s="597">
        <f>I50/'WACC BIPT 2019'!AE18</f>
        <v>7.4405494814747897E-2</v>
      </c>
      <c r="J75"/>
      <c r="K75"/>
      <c r="L75" s="48"/>
      <c r="M75" s="87"/>
    </row>
    <row r="76" spans="1:13">
      <c r="A76" s="513" t="s">
        <v>336</v>
      </c>
      <c r="B76" s="518" t="s">
        <v>343</v>
      </c>
      <c r="C76" s="598">
        <f>C51/'WACC BIPT 2019'!Y19</f>
        <v>-1.8650477725502452E-2</v>
      </c>
      <c r="D76" s="598">
        <f>D51/'WACC BIPT 2019'!Z19</f>
        <v>-6.9835161346416486E-2</v>
      </c>
      <c r="E76" s="598">
        <f>E51/'WACC BIPT 2019'!AA19</f>
        <v>-2.4384491780631332E-2</v>
      </c>
      <c r="F76" s="598">
        <f>F51/'WACC BIPT 2019'!AB19</f>
        <v>-2.3075314051002025E-2</v>
      </c>
      <c r="G76" s="598">
        <f>G51/'WACC BIPT 2019'!AC19</f>
        <v>-4.432641165470011E-2</v>
      </c>
      <c r="H76" s="598">
        <f>H51/'WACC BIPT 2019'!AD19</f>
        <v>5.1123453228916212E-2</v>
      </c>
      <c r="I76" s="598">
        <f>I51/'WACC BIPT 2019'!AE19</f>
        <v>5.9917279405878168E-2</v>
      </c>
      <c r="J76"/>
      <c r="K76"/>
      <c r="L76" s="48"/>
      <c r="M76" s="87"/>
    </row>
    <row r="77" spans="1:13">
      <c r="A77" s="513" t="s">
        <v>337</v>
      </c>
      <c r="B77" s="513" t="s">
        <v>344</v>
      </c>
      <c r="C77" s="72">
        <f>C52/'WACC BIPT 2019'!Y20</f>
        <v>-7.1862522186580138E-2</v>
      </c>
      <c r="D77" s="72">
        <f>D52/'WACC BIPT 2019'!Z20</f>
        <v>-7.1862522186580138E-2</v>
      </c>
      <c r="E77" s="72">
        <f>E52/'WACC BIPT 2019'!AA20</f>
        <v>-0.11435589179736939</v>
      </c>
      <c r="F77" s="72">
        <f>F52/'WACC BIPT 2019'!AB20</f>
        <v>-0.11435589179736939</v>
      </c>
      <c r="G77" s="72">
        <f>G52/'WACC BIPT 2019'!AC20</f>
        <v>2.8623523227520358E-2</v>
      </c>
      <c r="H77" s="72">
        <f>H52/'WACC BIPT 2019'!AD20</f>
        <v>-9.6913622238139888E-2</v>
      </c>
      <c r="I77" s="72">
        <f>I52/'WACC BIPT 2019'!AE20</f>
        <v>-0.12946526010752182</v>
      </c>
      <c r="J77"/>
      <c r="K77"/>
      <c r="L77" s="48"/>
      <c r="M77" s="87"/>
    </row>
    <row r="78" spans="1:13">
      <c r="A78" s="513" t="s">
        <v>338</v>
      </c>
      <c r="B78" s="516" t="s">
        <v>345</v>
      </c>
      <c r="C78" s="72">
        <f>C53/'WACC BIPT 2019'!Y22</f>
        <v>6.8777756679519519E-2</v>
      </c>
      <c r="D78" s="599">
        <f>D53/'WACC BIPT 2019'!Z22</f>
        <v>4.0810680087537937E-2</v>
      </c>
      <c r="E78" s="599">
        <f>E53/'WACC BIPT 2019'!AA22</f>
        <v>0.10131616867195456</v>
      </c>
      <c r="F78" s="72">
        <f>F53/'WACC BIPT 2019'!AB22</f>
        <v>9.0840982760475961E-2</v>
      </c>
      <c r="G78" s="599">
        <f>G53/'WACC BIPT 2019'!AC22</f>
        <v>7.1373140138951033E-2</v>
      </c>
      <c r="H78" s="72">
        <f>H53/'WACC BIPT 2019'!AD22</f>
        <v>0.114587477951812</v>
      </c>
      <c r="I78" s="599">
        <f>I53/'WACC BIPT 2019'!AE22</f>
        <v>0.11673222203655328</v>
      </c>
      <c r="J78"/>
      <c r="K78"/>
      <c r="L78" s="48"/>
      <c r="M78" s="87"/>
    </row>
    <row r="79" spans="1:13">
      <c r="A79" s="41"/>
      <c r="B79" s="591"/>
      <c r="C79" s="592"/>
      <c r="D79" s="593"/>
      <c r="E79" s="593"/>
      <c r="F79" s="592"/>
      <c r="G79" s="593"/>
      <c r="H79" s="592"/>
      <c r="I79" s="593"/>
      <c r="J79"/>
      <c r="K79"/>
      <c r="L79" s="48"/>
      <c r="M79" s="87"/>
    </row>
    <row r="80" spans="1:13">
      <c r="A80" s="73" t="s">
        <v>76</v>
      </c>
      <c r="B80" s="46"/>
      <c r="C80" s="35"/>
      <c r="D80" s="35"/>
      <c r="E80" s="35"/>
      <c r="F80" s="35"/>
      <c r="G80" s="35"/>
      <c r="H80" s="35"/>
      <c r="I80" s="35"/>
      <c r="J80"/>
      <c r="K80"/>
      <c r="L80" s="48"/>
      <c r="M80" s="87"/>
    </row>
    <row r="81" spans="1:13">
      <c r="A81" s="512" t="s">
        <v>339</v>
      </c>
      <c r="B81" s="512" t="s">
        <v>346</v>
      </c>
      <c r="C81" s="74">
        <f>C56/'WACC BIPT 2019'!Y14</f>
        <v>-4.7783753295482803E-2</v>
      </c>
      <c r="D81" s="74">
        <f>D56/'WACC BIPT 2019'!Z14</f>
        <v>-4.7783753295482803E-2</v>
      </c>
      <c r="E81" s="74">
        <f>E56/'WACC BIPT 2019'!AA14</f>
        <v>-6.5594313436879353E-2</v>
      </c>
      <c r="F81" s="74">
        <f>F56/'WACC BIPT 2019'!AB14</f>
        <v>-6.5594313436879353E-2</v>
      </c>
      <c r="G81" s="74">
        <f>G56/'WACC BIPT 2019'!AC14</f>
        <v>4.5589362524407068E-2</v>
      </c>
      <c r="H81" s="74">
        <f>H56/'WACC BIPT 2019'!AD14</f>
        <v>-5.7748660665076577E-2</v>
      </c>
      <c r="I81" s="74">
        <f>I56/'WACC BIPT 2019'!AE14</f>
        <v>-7.1744998896257808E-2</v>
      </c>
      <c r="J81"/>
      <c r="K81"/>
      <c r="L81" s="48"/>
      <c r="M81" s="87"/>
    </row>
    <row r="82" spans="1:13">
      <c r="A82" s="513"/>
      <c r="B82" s="513" t="s">
        <v>347</v>
      </c>
      <c r="C82" s="48">
        <f>C57/'WACC BIPT 2019'!Y15</f>
        <v>-0.20389333476479396</v>
      </c>
      <c r="D82" s="508">
        <f>D57/'WACC BIPT 2019'!Z15</f>
        <v>-0.20389333476479396</v>
      </c>
      <c r="E82" s="508">
        <f>E57/'WACC BIPT 2019'!AA15</f>
        <v>-0.17991686168323914</v>
      </c>
      <c r="F82" s="48">
        <f>F57/'WACC BIPT 2019'!AB15</f>
        <v>-0.17991686168323914</v>
      </c>
      <c r="G82" s="508">
        <f>G57/'WACC BIPT 2019'!AC15</f>
        <v>-1.7077794286138568E-2</v>
      </c>
      <c r="H82" s="48">
        <f>H57/'WACC BIPT 2019'!AD15</f>
        <v>-0.18952466486692754</v>
      </c>
      <c r="I82" s="508">
        <f>I57/'WACC BIPT 2019'!AE15</f>
        <v>-0.17053749225411968</v>
      </c>
      <c r="J82"/>
      <c r="K82"/>
      <c r="L82" s="48"/>
      <c r="M82" s="87"/>
    </row>
    <row r="83" spans="1:13">
      <c r="A83" s="513" t="s">
        <v>340</v>
      </c>
      <c r="B83" s="513" t="s">
        <v>348</v>
      </c>
      <c r="C83" s="48">
        <f>C58/'WACC BIPT 2019'!Y25</f>
        <v>8.9731827723473725E-2</v>
      </c>
      <c r="D83" s="508">
        <f>D58/'WACC BIPT 2019'!Z25</f>
        <v>6.6090212743008553E-2</v>
      </c>
      <c r="E83" s="508">
        <f>E58/'WACC BIPT 2019'!AA25</f>
        <v>0.12997342686822369</v>
      </c>
      <c r="F83" s="48">
        <f>F58/'WACC BIPT 2019'!AB25</f>
        <v>0.10859692435413193</v>
      </c>
      <c r="G83" s="508">
        <f>G58/'WACC BIPT 2019'!AC25</f>
        <v>9.2461096924604164E-2</v>
      </c>
      <c r="H83" s="48">
        <f>H58/'WACC BIPT 2019'!AD25</f>
        <v>0.12771437298036067</v>
      </c>
      <c r="I83" s="508">
        <f>I58/'WACC BIPT 2019'!AE25</f>
        <v>0.12884639733823366</v>
      </c>
      <c r="J83"/>
      <c r="K83"/>
      <c r="L83" s="48"/>
      <c r="M83" s="87"/>
    </row>
    <row r="84" spans="1:13">
      <c r="A84" s="514" t="s">
        <v>341</v>
      </c>
      <c r="B84" s="607" t="s">
        <v>350</v>
      </c>
      <c r="C84" s="605">
        <f>'To Ms Word A'!C59/'WACC BIPT 2019'!Y31</f>
        <v>1.248365985900024E-2</v>
      </c>
      <c r="D84" s="606">
        <f>'To Ms Word A'!D59/'WACC BIPT 2019'!Z31</f>
        <v>-3.2601400577050244E-2</v>
      </c>
      <c r="E84" s="606">
        <f>'To Ms Word A'!E59/'WACC BIPT 2019'!AA31</f>
        <v>1.5356588654994337E-2</v>
      </c>
      <c r="F84" s="605">
        <f>'To Ms Word A'!F59/'WACC BIPT 2019'!AB31</f>
        <v>9.2288818708807941E-3</v>
      </c>
      <c r="G84" s="606">
        <f>'To Ms Word A'!G59/'WACC BIPT 2019'!AC31</f>
        <v>-6.7500114311052507E-3</v>
      </c>
      <c r="H84" s="605">
        <f>'To Ms Word A'!H59/'WACC BIPT 2019'!AD31</f>
        <v>7.3926581262859614E-2</v>
      </c>
      <c r="I84" s="606">
        <f>'To Ms Word A'!I59/'WACC BIPT 2019'!AE31</f>
        <v>8.2168396534768595E-2</v>
      </c>
      <c r="J84" s="39"/>
      <c r="K84" s="39"/>
      <c r="L84" s="48"/>
      <c r="M84" s="87"/>
    </row>
    <row r="85" spans="1:13" s="500" customFormat="1">
      <c r="A85" s="609" t="s">
        <v>351</v>
      </c>
      <c r="B85" s="609" t="s">
        <v>352</v>
      </c>
      <c r="C85" s="610"/>
      <c r="D85" s="611"/>
      <c r="E85" s="610">
        <f>E60/'WACC BIPT 2019'!AA32</f>
        <v>0.29253444903010944</v>
      </c>
      <c r="F85" s="611"/>
      <c r="G85" s="622">
        <f>G60/'WACC BIPT 2019'!AC32</f>
        <v>2.2826124189314854</v>
      </c>
      <c r="H85" s="623"/>
      <c r="I85" s="622">
        <f>I60/'WACC BIPT 2019'!AE32</f>
        <v>2.449042374235729</v>
      </c>
      <c r="J85" s="496"/>
      <c r="K85" s="496"/>
      <c r="L85" s="612"/>
      <c r="M85" s="496"/>
    </row>
    <row r="86" spans="1:13">
      <c r="A86" s="41"/>
      <c r="B86"/>
      <c r="C86" s="257"/>
      <c r="D86" s="257"/>
      <c r="E86" s="256"/>
      <c r="F86" s="257"/>
      <c r="G86" s="256"/>
      <c r="H86" s="257"/>
      <c r="I86" s="256"/>
      <c r="J86"/>
      <c r="K86"/>
      <c r="L86" s="48"/>
      <c r="M86" s="87"/>
    </row>
    <row r="87" spans="1:13">
      <c r="A87" s="41"/>
      <c r="B87"/>
      <c r="C87" s="620">
        <v>8.9731827723473725E-2</v>
      </c>
      <c r="D87" s="620">
        <v>6.6090212743008553E-2</v>
      </c>
      <c r="E87" s="621">
        <v>0.12997342686822369</v>
      </c>
      <c r="F87" s="620">
        <v>0.10859692435413193</v>
      </c>
      <c r="G87" s="621">
        <v>9.2461096924604164E-2</v>
      </c>
      <c r="H87" s="620">
        <v>0.12771437298036067</v>
      </c>
      <c r="I87" s="621">
        <v>0.12884639733823366</v>
      </c>
      <c r="J87"/>
      <c r="K87"/>
      <c r="L87" s="48"/>
      <c r="M87" s="87"/>
    </row>
    <row r="88" spans="1:13">
      <c r="A88" s="41"/>
      <c r="B88"/>
      <c r="C88" s="620">
        <v>1.248365985900024E-2</v>
      </c>
      <c r="D88" s="620">
        <v>-3.2601400577050244E-2</v>
      </c>
      <c r="E88" s="621">
        <v>1.5356588654994337E-2</v>
      </c>
      <c r="F88" s="620">
        <v>9.2288818708807941E-3</v>
      </c>
      <c r="G88" s="621">
        <v>-6.7500114311052507E-3</v>
      </c>
      <c r="H88" s="620">
        <v>7.3926581262859614E-2</v>
      </c>
      <c r="I88" s="621">
        <v>8.2168396534768595E-2</v>
      </c>
      <c r="J88"/>
      <c r="K88"/>
      <c r="L88" s="48"/>
      <c r="M88" s="87"/>
    </row>
  </sheetData>
  <dataValidations count="1">
    <dataValidation type="list" allowBlank="1" showInputMessage="1" showErrorMessage="1" sqref="K1" xr:uid="{95186F12-CDA4-4D88-AB5D-0D82001D1D41}">
      <formula1>$L$1:$L$2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B1:L138"/>
  <sheetViews>
    <sheetView showGridLines="0" topLeftCell="A55" zoomScaleNormal="100" workbookViewId="0">
      <selection activeCell="C7" sqref="C7"/>
    </sheetView>
  </sheetViews>
  <sheetFormatPr baseColWidth="10" defaultColWidth="11.44140625" defaultRowHeight="14.4"/>
  <cols>
    <col min="1" max="2" width="11.44140625" style="232"/>
    <col min="3" max="3" width="20" style="232" customWidth="1"/>
    <col min="4" max="4" width="19.33203125" style="232" customWidth="1"/>
    <col min="5" max="5" width="89.88671875" style="233" customWidth="1"/>
    <col min="6" max="16384" width="11.44140625" style="232"/>
  </cols>
  <sheetData>
    <row r="1" spans="2:5" ht="15" thickBot="1"/>
    <row r="2" spans="2:5" ht="15.6" thickTop="1" thickBot="1">
      <c r="B2" s="645"/>
      <c r="C2" s="647"/>
      <c r="D2" s="648"/>
      <c r="E2" s="234" t="s">
        <v>111</v>
      </c>
    </row>
    <row r="3" spans="2:5" ht="15.6" thickTop="1" thickBot="1">
      <c r="B3" s="646"/>
      <c r="C3" s="235" t="s">
        <v>112</v>
      </c>
      <c r="D3" s="235" t="s">
        <v>113</v>
      </c>
      <c r="E3" s="236"/>
    </row>
    <row r="4" spans="2:5" ht="15" thickTop="1">
      <c r="B4" s="237" t="s">
        <v>47</v>
      </c>
      <c r="C4" s="238" t="s">
        <v>114</v>
      </c>
      <c r="D4" s="238" t="s">
        <v>114</v>
      </c>
      <c r="E4" s="233">
        <v>7.91</v>
      </c>
    </row>
    <row r="5" spans="2:5" ht="15" thickBot="1">
      <c r="B5" s="239"/>
      <c r="C5" s="239" t="s">
        <v>115</v>
      </c>
      <c r="D5" s="239" t="s">
        <v>115</v>
      </c>
      <c r="E5" s="240" t="s">
        <v>116</v>
      </c>
    </row>
    <row r="6" spans="2:5">
      <c r="B6" s="241" t="s">
        <v>117</v>
      </c>
      <c r="C6" s="242">
        <v>4.45</v>
      </c>
      <c r="D6" s="242">
        <v>7.35</v>
      </c>
      <c r="E6" s="233">
        <v>8.1300000000000008</v>
      </c>
    </row>
    <row r="7" spans="2:5" ht="15" thickBot="1">
      <c r="B7" s="239"/>
      <c r="C7" s="243"/>
      <c r="D7" s="243"/>
      <c r="E7" s="240" t="s">
        <v>118</v>
      </c>
    </row>
    <row r="8" spans="2:5">
      <c r="B8" s="241" t="s">
        <v>119</v>
      </c>
      <c r="C8" s="242">
        <v>3.47</v>
      </c>
      <c r="D8" s="242">
        <v>4.41</v>
      </c>
      <c r="E8" s="233">
        <v>5.04</v>
      </c>
    </row>
    <row r="9" spans="2:5" ht="15" thickBot="1">
      <c r="B9" s="239"/>
      <c r="C9" s="243"/>
      <c r="D9" s="243"/>
      <c r="E9" s="244" t="s">
        <v>120</v>
      </c>
    </row>
    <row r="10" spans="2:5">
      <c r="B10" s="241" t="s">
        <v>121</v>
      </c>
      <c r="C10" s="242">
        <v>2.4</v>
      </c>
      <c r="D10" s="242">
        <v>6.96</v>
      </c>
      <c r="E10" s="233">
        <v>6.5</v>
      </c>
    </row>
    <row r="11" spans="2:5" ht="15" thickBot="1">
      <c r="B11" s="239"/>
      <c r="C11" s="243"/>
      <c r="D11" s="243"/>
      <c r="E11" s="240" t="s">
        <v>122</v>
      </c>
    </row>
    <row r="12" spans="2:5">
      <c r="B12" s="241" t="s">
        <v>18</v>
      </c>
      <c r="C12" s="242">
        <v>4.9000000000000004</v>
      </c>
      <c r="D12" s="238">
        <v>6.2</v>
      </c>
      <c r="E12" s="233">
        <v>7.6</v>
      </c>
    </row>
    <row r="13" spans="2:5">
      <c r="B13" s="238"/>
      <c r="C13" s="245"/>
      <c r="D13" s="238" t="s">
        <v>123</v>
      </c>
      <c r="E13" s="233" t="s">
        <v>124</v>
      </c>
    </row>
    <row r="14" spans="2:5" ht="15" thickBot="1">
      <c r="B14" s="239"/>
      <c r="C14" s="243"/>
      <c r="D14" s="239" t="s">
        <v>125</v>
      </c>
      <c r="E14" s="240" t="s">
        <v>126</v>
      </c>
    </row>
    <row r="15" spans="2:5">
      <c r="B15" s="241" t="s">
        <v>50</v>
      </c>
      <c r="C15" s="238">
        <v>3.29</v>
      </c>
      <c r="D15" s="238">
        <v>6.75</v>
      </c>
      <c r="E15" s="233">
        <v>5.66</v>
      </c>
    </row>
    <row r="16" spans="2:5">
      <c r="B16" s="238"/>
      <c r="C16" s="238" t="s">
        <v>127</v>
      </c>
      <c r="D16" s="238" t="s">
        <v>127</v>
      </c>
      <c r="E16" s="233" t="s">
        <v>128</v>
      </c>
    </row>
    <row r="17" spans="2:5">
      <c r="B17" s="238"/>
      <c r="C17" s="238"/>
      <c r="D17" s="238"/>
      <c r="E17" s="246" t="s">
        <v>129</v>
      </c>
    </row>
    <row r="18" spans="2:5">
      <c r="B18" s="238"/>
      <c r="C18" s="238"/>
      <c r="D18" s="238"/>
      <c r="E18" s="246" t="s">
        <v>130</v>
      </c>
    </row>
    <row r="19" spans="2:5">
      <c r="B19" s="238"/>
      <c r="C19" s="238"/>
      <c r="D19" s="238"/>
      <c r="E19" s="246" t="s">
        <v>131</v>
      </c>
    </row>
    <row r="20" spans="2:5" ht="15" thickBot="1">
      <c r="B20" s="239"/>
      <c r="C20" s="239"/>
      <c r="D20" s="239"/>
      <c r="E20" s="240" t="s">
        <v>132</v>
      </c>
    </row>
    <row r="21" spans="2:5" ht="15" thickBot="1">
      <c r="B21" s="239" t="s">
        <v>133</v>
      </c>
      <c r="C21" s="239" t="s">
        <v>114</v>
      </c>
      <c r="D21" s="239" t="s">
        <v>114</v>
      </c>
      <c r="E21" s="244" t="s">
        <v>134</v>
      </c>
    </row>
    <row r="22" spans="2:5">
      <c r="B22" s="241" t="s">
        <v>19</v>
      </c>
      <c r="C22" s="242">
        <v>5.08</v>
      </c>
      <c r="D22" s="242">
        <v>8.2100000000000009</v>
      </c>
      <c r="E22" s="233">
        <v>8.18</v>
      </c>
    </row>
    <row r="23" spans="2:5">
      <c r="B23" s="238"/>
      <c r="C23" s="245"/>
      <c r="D23" s="245"/>
      <c r="E23" s="246" t="s">
        <v>135</v>
      </c>
    </row>
    <row r="24" spans="2:5" ht="15" thickBot="1">
      <c r="B24" s="239"/>
      <c r="C24" s="243"/>
      <c r="D24" s="243"/>
      <c r="E24" s="244" t="s">
        <v>136</v>
      </c>
    </row>
    <row r="25" spans="2:5">
      <c r="B25" s="241" t="s">
        <v>137</v>
      </c>
      <c r="C25" s="242">
        <v>6.4</v>
      </c>
      <c r="D25" s="242">
        <v>5.64</v>
      </c>
      <c r="E25" s="233">
        <v>8.77</v>
      </c>
    </row>
    <row r="26" spans="2:5" ht="15" thickBot="1">
      <c r="B26" s="239"/>
      <c r="C26" s="243"/>
      <c r="D26" s="243"/>
      <c r="E26" s="244" t="s">
        <v>138</v>
      </c>
    </row>
    <row r="27" spans="2:5" ht="15" thickTop="1">
      <c r="B27" s="237" t="s">
        <v>139</v>
      </c>
      <c r="C27" s="247">
        <v>3.44</v>
      </c>
      <c r="D27" s="247">
        <v>6.75</v>
      </c>
      <c r="E27" s="233">
        <v>7.1</v>
      </c>
    </row>
    <row r="28" spans="2:5" ht="15" thickBot="1">
      <c r="B28" s="239"/>
      <c r="C28" s="243"/>
      <c r="D28" s="243"/>
      <c r="E28" s="244" t="s">
        <v>140</v>
      </c>
    </row>
    <row r="29" spans="2:5">
      <c r="B29" s="241" t="s">
        <v>51</v>
      </c>
      <c r="C29" s="242">
        <v>5.3</v>
      </c>
      <c r="D29" s="242">
        <v>4.96</v>
      </c>
      <c r="E29" s="233">
        <v>6.06</v>
      </c>
    </row>
    <row r="30" spans="2:5" ht="15" thickBot="1">
      <c r="B30" s="239"/>
      <c r="C30" s="243"/>
      <c r="D30" s="243"/>
      <c r="E30" s="240" t="s">
        <v>141</v>
      </c>
    </row>
    <row r="31" spans="2:5">
      <c r="B31" s="241" t="s">
        <v>142</v>
      </c>
      <c r="C31" s="242" t="s">
        <v>114</v>
      </c>
      <c r="D31" s="242" t="s">
        <v>114</v>
      </c>
      <c r="E31" s="233">
        <v>8.3000000000000007</v>
      </c>
    </row>
    <row r="32" spans="2:5" ht="15" thickBot="1">
      <c r="B32" s="239"/>
      <c r="C32" s="248"/>
      <c r="D32" s="248"/>
      <c r="E32" s="240" t="s">
        <v>143</v>
      </c>
    </row>
    <row r="33" spans="2:8">
      <c r="B33" s="241" t="s">
        <v>20</v>
      </c>
      <c r="C33" s="238">
        <v>4.38</v>
      </c>
      <c r="D33" s="238">
        <v>8.77</v>
      </c>
      <c r="E33" s="233">
        <v>9.0650999999999993</v>
      </c>
    </row>
    <row r="34" spans="2:8">
      <c r="B34" s="238"/>
      <c r="C34" s="238" t="s">
        <v>144</v>
      </c>
      <c r="D34" s="238" t="s">
        <v>144</v>
      </c>
      <c r="E34" s="246" t="s">
        <v>145</v>
      </c>
    </row>
    <row r="35" spans="2:8" ht="15" thickBot="1">
      <c r="B35" s="239"/>
      <c r="C35" s="239" t="s">
        <v>146</v>
      </c>
      <c r="D35" s="239" t="s">
        <v>146</v>
      </c>
      <c r="E35" s="244"/>
    </row>
    <row r="36" spans="2:8">
      <c r="B36" s="241" t="s">
        <v>147</v>
      </c>
      <c r="C36" s="242">
        <v>2.2400000000000002</v>
      </c>
      <c r="D36" s="242">
        <v>6.75</v>
      </c>
      <c r="E36" s="233">
        <v>6.48</v>
      </c>
    </row>
    <row r="37" spans="2:8" ht="15" thickBot="1">
      <c r="B37" s="239"/>
      <c r="C37" s="243"/>
      <c r="D37" s="243"/>
      <c r="E37" s="240" t="s">
        <v>148</v>
      </c>
    </row>
    <row r="38" spans="2:8">
      <c r="B38" s="241" t="s">
        <v>149</v>
      </c>
      <c r="C38" s="242">
        <v>5.07</v>
      </c>
      <c r="D38" s="242">
        <v>7.09</v>
      </c>
      <c r="E38" s="540">
        <v>6.67</v>
      </c>
      <c r="G38" s="535" t="s">
        <v>307</v>
      </c>
      <c r="H38" s="539">
        <v>5.2200000000000006</v>
      </c>
    </row>
    <row r="39" spans="2:8">
      <c r="B39" s="238"/>
      <c r="C39" s="245"/>
      <c r="D39" s="245"/>
      <c r="E39" s="246" t="s">
        <v>150</v>
      </c>
      <c r="H39" s="539">
        <v>7.5</v>
      </c>
    </row>
    <row r="40" spans="2:8" ht="15" thickBot="1">
      <c r="B40" s="239"/>
      <c r="C40" s="243"/>
      <c r="D40" s="243"/>
      <c r="E40" s="244" t="s">
        <v>151</v>
      </c>
    </row>
    <row r="41" spans="2:8">
      <c r="B41" s="241" t="s">
        <v>152</v>
      </c>
      <c r="C41" s="242" t="s">
        <v>114</v>
      </c>
      <c r="D41" s="242" t="s">
        <v>114</v>
      </c>
      <c r="E41" s="233">
        <v>4.46</v>
      </c>
    </row>
    <row r="42" spans="2:8" ht="15" thickBot="1">
      <c r="B42" s="239"/>
      <c r="C42" s="248"/>
      <c r="D42" s="248"/>
      <c r="E42" s="240" t="s">
        <v>153</v>
      </c>
    </row>
    <row r="43" spans="2:8">
      <c r="B43" s="241" t="s">
        <v>154</v>
      </c>
      <c r="C43" s="242">
        <v>3.9</v>
      </c>
      <c r="D43" s="242">
        <v>7.9</v>
      </c>
      <c r="E43" s="233">
        <v>7.9</v>
      </c>
    </row>
    <row r="44" spans="2:8">
      <c r="B44" s="238"/>
      <c r="C44" s="245"/>
      <c r="D44" s="245"/>
      <c r="E44" s="233" t="s">
        <v>155</v>
      </c>
    </row>
    <row r="45" spans="2:8" ht="15" thickBot="1">
      <c r="B45" s="239"/>
      <c r="C45" s="243"/>
      <c r="D45" s="243"/>
      <c r="E45" s="244" t="s">
        <v>156</v>
      </c>
    </row>
    <row r="49" spans="2:11">
      <c r="B49" s="232" t="s">
        <v>157</v>
      </c>
    </row>
    <row r="50" spans="2:11" ht="15" thickBot="1"/>
    <row r="51" spans="2:11" ht="15.6" thickTop="1" thickBot="1">
      <c r="B51" s="645"/>
      <c r="C51" s="647"/>
      <c r="D51" s="648"/>
      <c r="E51" s="649" t="s">
        <v>111</v>
      </c>
    </row>
    <row r="52" spans="2:11" ht="15.6" thickTop="1" thickBot="1">
      <c r="B52" s="646"/>
      <c r="C52" s="235" t="s">
        <v>158</v>
      </c>
      <c r="D52" s="235" t="s">
        <v>113</v>
      </c>
      <c r="E52" s="650"/>
    </row>
    <row r="53" spans="2:11" ht="15" thickTop="1">
      <c r="B53" s="237" t="s">
        <v>47</v>
      </c>
      <c r="C53" s="238" t="s">
        <v>114</v>
      </c>
      <c r="D53" s="238" t="s">
        <v>114</v>
      </c>
      <c r="E53" s="233">
        <v>7.91</v>
      </c>
    </row>
    <row r="54" spans="2:11" ht="15" thickBot="1">
      <c r="B54" s="239"/>
      <c r="C54" s="239" t="s">
        <v>115</v>
      </c>
      <c r="D54" s="239" t="s">
        <v>115</v>
      </c>
      <c r="E54" s="244" t="s">
        <v>159</v>
      </c>
    </row>
    <row r="55" spans="2:11">
      <c r="B55" s="241" t="s">
        <v>117</v>
      </c>
      <c r="C55" s="242">
        <v>4.45</v>
      </c>
      <c r="D55" s="242">
        <v>7.35</v>
      </c>
      <c r="E55" s="233">
        <v>8.1300000000000008</v>
      </c>
    </row>
    <row r="56" spans="2:11" ht="15" thickBot="1">
      <c r="B56" s="239"/>
      <c r="C56" s="243"/>
      <c r="D56" s="243"/>
      <c r="E56" s="240" t="s">
        <v>118</v>
      </c>
    </row>
    <row r="57" spans="2:11">
      <c r="B57" s="241" t="s">
        <v>119</v>
      </c>
      <c r="C57" s="242">
        <v>3.47</v>
      </c>
      <c r="D57" s="242">
        <v>4.41</v>
      </c>
      <c r="E57" s="233">
        <v>7.04</v>
      </c>
    </row>
    <row r="58" spans="2:11">
      <c r="B58" s="238"/>
      <c r="C58" s="245"/>
      <c r="D58" s="245"/>
      <c r="E58" s="233" t="s">
        <v>160</v>
      </c>
    </row>
    <row r="59" spans="2:11" ht="15" thickBot="1">
      <c r="B59" s="239"/>
      <c r="C59" s="243"/>
      <c r="D59" s="243"/>
      <c r="E59" s="244" t="s">
        <v>120</v>
      </c>
    </row>
    <row r="60" spans="2:11" ht="15" thickBot="1">
      <c r="B60" s="559" t="s">
        <v>308</v>
      </c>
      <c r="C60" s="243">
        <v>2.4</v>
      </c>
      <c r="D60" s="243">
        <v>8.24</v>
      </c>
      <c r="E60" s="240" t="e">
        <f>E27-E28</f>
        <v>#VALUE!</v>
      </c>
      <c r="F60" s="240">
        <f t="shared" ref="F60:K60" si="0">F27-F28</f>
        <v>0</v>
      </c>
      <c r="G60" s="240">
        <f t="shared" si="0"/>
        <v>0</v>
      </c>
      <c r="H60" s="240">
        <f t="shared" si="0"/>
        <v>0</v>
      </c>
      <c r="I60" s="240">
        <f t="shared" si="0"/>
        <v>0</v>
      </c>
      <c r="J60" s="240">
        <f t="shared" si="0"/>
        <v>0</v>
      </c>
      <c r="K60" s="240">
        <f t="shared" si="0"/>
        <v>0</v>
      </c>
    </row>
    <row r="61" spans="2:11" ht="15" thickBot="1">
      <c r="B61" s="239"/>
      <c r="C61" s="243"/>
      <c r="D61" s="243"/>
      <c r="E61" s="240"/>
    </row>
    <row r="62" spans="2:11" ht="15" thickBot="1">
      <c r="B62" s="239" t="s">
        <v>303</v>
      </c>
      <c r="C62" s="239" t="s">
        <v>161</v>
      </c>
      <c r="D62" s="239" t="s">
        <v>161</v>
      </c>
      <c r="E62" s="244" t="s">
        <v>162</v>
      </c>
    </row>
    <row r="63" spans="2:11">
      <c r="B63" s="241" t="s">
        <v>50</v>
      </c>
      <c r="C63" s="238">
        <v>3.29</v>
      </c>
      <c r="D63" s="238">
        <v>6.75</v>
      </c>
      <c r="E63" s="233">
        <v>5.66</v>
      </c>
    </row>
    <row r="64" spans="2:11">
      <c r="B64" s="238"/>
      <c r="C64" s="238" t="s">
        <v>163</v>
      </c>
      <c r="D64" s="238" t="s">
        <v>163</v>
      </c>
      <c r="E64" s="233" t="s">
        <v>128</v>
      </c>
    </row>
    <row r="65" spans="2:12">
      <c r="B65" s="238"/>
      <c r="C65" s="238" t="s">
        <v>164</v>
      </c>
      <c r="D65" s="238" t="s">
        <v>164</v>
      </c>
      <c r="E65" s="246" t="s">
        <v>129</v>
      </c>
    </row>
    <row r="66" spans="2:12">
      <c r="B66" s="238"/>
      <c r="C66" s="238"/>
      <c r="D66" s="238"/>
      <c r="E66" s="246" t="s">
        <v>130</v>
      </c>
    </row>
    <row r="67" spans="2:12" ht="15" thickBot="1">
      <c r="B67" s="239"/>
      <c r="C67" s="239"/>
      <c r="D67" s="239"/>
      <c r="E67" s="240" t="s">
        <v>165</v>
      </c>
    </row>
    <row r="68" spans="2:12" ht="15" thickBot="1">
      <c r="B68" s="239" t="s">
        <v>133</v>
      </c>
      <c r="C68" s="239" t="s">
        <v>114</v>
      </c>
      <c r="D68" s="239" t="s">
        <v>114</v>
      </c>
      <c r="E68" s="244" t="s">
        <v>134</v>
      </c>
    </row>
    <row r="69" spans="2:12" ht="15" thickBot="1">
      <c r="B69" s="239" t="s">
        <v>309</v>
      </c>
      <c r="C69" s="543">
        <v>0.28999999999999998</v>
      </c>
      <c r="D69" s="239" t="s">
        <v>114</v>
      </c>
      <c r="E69" s="546" t="e">
        <f>$C$69*E9</f>
        <v>#VALUE!</v>
      </c>
      <c r="F69" s="549">
        <f t="shared" ref="F69:K69" si="1">$C$69*F9</f>
        <v>0</v>
      </c>
      <c r="G69" s="549">
        <f t="shared" si="1"/>
        <v>0</v>
      </c>
      <c r="H69" s="546">
        <f t="shared" si="1"/>
        <v>0</v>
      </c>
      <c r="I69" s="551">
        <f t="shared" si="1"/>
        <v>0</v>
      </c>
      <c r="J69" s="546">
        <f t="shared" si="1"/>
        <v>0</v>
      </c>
      <c r="K69" s="551">
        <f t="shared" si="1"/>
        <v>0</v>
      </c>
    </row>
    <row r="70" spans="2:12" ht="15" thickBot="1">
      <c r="B70" s="239"/>
      <c r="C70" s="543"/>
      <c r="D70" s="239"/>
      <c r="E70" s="546">
        <f>$C$69*E63</f>
        <v>1.6414</v>
      </c>
      <c r="F70" s="549">
        <f>$C$69*F63</f>
        <v>0</v>
      </c>
      <c r="G70" s="549">
        <f t="shared" ref="G70:L70" si="2">$C$69*G63</f>
        <v>0</v>
      </c>
      <c r="H70" s="546">
        <f t="shared" si="2"/>
        <v>0</v>
      </c>
      <c r="I70" s="551">
        <f t="shared" si="2"/>
        <v>0</v>
      </c>
      <c r="J70" s="546">
        <f t="shared" si="2"/>
        <v>0</v>
      </c>
      <c r="K70" s="551">
        <f t="shared" si="2"/>
        <v>0</v>
      </c>
      <c r="L70" s="546">
        <f t="shared" si="2"/>
        <v>0</v>
      </c>
    </row>
    <row r="71" spans="2:12" ht="15" thickBot="1">
      <c r="B71" s="239"/>
      <c r="C71" s="543"/>
      <c r="D71" s="239"/>
      <c r="E71" s="546"/>
      <c r="F71" s="554"/>
      <c r="G71" s="554"/>
      <c r="H71" s="555"/>
      <c r="I71" s="556"/>
      <c r="J71" s="555"/>
      <c r="K71" s="556"/>
    </row>
    <row r="72" spans="2:12" ht="15" thickBot="1">
      <c r="B72" s="239" t="s">
        <v>133</v>
      </c>
      <c r="C72" s="239" t="s">
        <v>114</v>
      </c>
      <c r="D72" s="239" t="s">
        <v>114</v>
      </c>
      <c r="E72" s="244" t="s">
        <v>134</v>
      </c>
    </row>
    <row r="73" spans="2:12">
      <c r="B73" s="238"/>
      <c r="C73" s="245"/>
      <c r="D73" s="245"/>
      <c r="E73" s="233" t="s">
        <v>166</v>
      </c>
    </row>
    <row r="74" spans="2:12">
      <c r="B74" s="238"/>
      <c r="C74" s="245"/>
      <c r="D74" s="245"/>
      <c r="E74" s="233" t="s">
        <v>167</v>
      </c>
    </row>
    <row r="75" spans="2:12" ht="15" thickBot="1">
      <c r="B75" s="239"/>
      <c r="C75" s="243"/>
      <c r="D75" s="243"/>
      <c r="E75" s="244" t="s">
        <v>168</v>
      </c>
    </row>
    <row r="76" spans="2:12">
      <c r="B76" s="241" t="s">
        <v>139</v>
      </c>
      <c r="C76" s="242">
        <v>3.44</v>
      </c>
      <c r="D76" s="242">
        <v>6.75</v>
      </c>
      <c r="E76" s="233">
        <v>7.71</v>
      </c>
    </row>
    <row r="77" spans="2:12" ht="15" thickBot="1">
      <c r="B77" s="239"/>
      <c r="C77" s="243"/>
      <c r="D77" s="243"/>
      <c r="E77" s="244" t="s">
        <v>140</v>
      </c>
    </row>
    <row r="78" spans="2:12">
      <c r="B78" s="241" t="s">
        <v>51</v>
      </c>
      <c r="C78" s="242">
        <v>5.3</v>
      </c>
      <c r="D78" s="242">
        <v>4.96</v>
      </c>
      <c r="E78" s="233">
        <v>8.67</v>
      </c>
    </row>
    <row r="79" spans="2:12">
      <c r="B79" s="238"/>
      <c r="C79" s="245"/>
      <c r="D79" s="245"/>
      <c r="E79" s="246" t="s">
        <v>169</v>
      </c>
    </row>
    <row r="80" spans="2:12" ht="15" thickBot="1">
      <c r="B80" s="239"/>
      <c r="C80" s="243"/>
      <c r="D80" s="243"/>
      <c r="E80" s="244" t="s">
        <v>170</v>
      </c>
    </row>
    <row r="81" spans="2:5" ht="15" thickBot="1">
      <c r="B81" s="239" t="s">
        <v>142</v>
      </c>
      <c r="C81" s="239" t="s">
        <v>161</v>
      </c>
      <c r="D81" s="239" t="s">
        <v>161</v>
      </c>
      <c r="E81" s="244" t="s">
        <v>162</v>
      </c>
    </row>
    <row r="82" spans="2:5">
      <c r="B82" s="241" t="s">
        <v>20</v>
      </c>
      <c r="C82" s="238">
        <v>4.38</v>
      </c>
      <c r="D82" s="238">
        <v>8.77</v>
      </c>
      <c r="E82" s="233">
        <v>9.0650999999999993</v>
      </c>
    </row>
    <row r="83" spans="2:5" ht="15" thickBot="1">
      <c r="B83" s="239"/>
      <c r="C83" s="239" t="s">
        <v>171</v>
      </c>
      <c r="D83" s="239" t="s">
        <v>171</v>
      </c>
      <c r="E83" s="240" t="s">
        <v>145</v>
      </c>
    </row>
    <row r="84" spans="2:5">
      <c r="B84" s="241" t="s">
        <v>147</v>
      </c>
      <c r="C84" s="242" t="s">
        <v>161</v>
      </c>
      <c r="D84" s="242" t="s">
        <v>161</v>
      </c>
      <c r="E84" s="233" t="s">
        <v>162</v>
      </c>
    </row>
    <row r="85" spans="2:5" ht="15" thickBot="1">
      <c r="B85" s="239"/>
      <c r="C85" s="248"/>
      <c r="D85" s="248"/>
      <c r="E85" s="240" t="s">
        <v>172</v>
      </c>
    </row>
    <row r="86" spans="2:5">
      <c r="B86" s="241" t="s">
        <v>149</v>
      </c>
      <c r="C86" s="242" t="s">
        <v>161</v>
      </c>
      <c r="D86" s="242" t="s">
        <v>161</v>
      </c>
      <c r="E86" s="233" t="s">
        <v>162</v>
      </c>
    </row>
    <row r="87" spans="2:5" ht="15" thickBot="1">
      <c r="B87" s="239"/>
      <c r="C87" s="248"/>
      <c r="D87" s="248"/>
      <c r="E87" s="244" t="s">
        <v>173</v>
      </c>
    </row>
    <row r="88" spans="2:5" ht="15" thickBot="1">
      <c r="B88" s="239" t="s">
        <v>152</v>
      </c>
      <c r="C88" s="239" t="s">
        <v>161</v>
      </c>
      <c r="D88" s="239" t="s">
        <v>161</v>
      </c>
      <c r="E88" s="244" t="s">
        <v>162</v>
      </c>
    </row>
    <row r="89" spans="2:5">
      <c r="B89" s="241" t="s">
        <v>154</v>
      </c>
      <c r="C89" s="242">
        <v>4</v>
      </c>
      <c r="D89" s="242">
        <v>9.1999999999999993</v>
      </c>
      <c r="E89" s="233">
        <v>8.9</v>
      </c>
    </row>
    <row r="90" spans="2:5">
      <c r="B90" s="238"/>
      <c r="C90" s="249"/>
      <c r="D90" s="249"/>
      <c r="E90" s="233" t="s">
        <v>174</v>
      </c>
    </row>
    <row r="91" spans="2:5" ht="15" thickBot="1">
      <c r="B91" s="239"/>
      <c r="C91" s="248"/>
      <c r="D91" s="248"/>
      <c r="E91" s="244" t="s">
        <v>156</v>
      </c>
    </row>
    <row r="95" spans="2:5">
      <c r="B95" s="232" t="s">
        <v>21</v>
      </c>
    </row>
    <row r="96" spans="2:5" ht="15" thickBot="1"/>
    <row r="97" spans="2:5" ht="15.6" thickTop="1" thickBot="1">
      <c r="B97" s="645"/>
      <c r="C97" s="647"/>
      <c r="D97" s="648"/>
      <c r="E97" s="649" t="s">
        <v>111</v>
      </c>
    </row>
    <row r="98" spans="2:5" ht="15.6" thickTop="1" thickBot="1">
      <c r="B98" s="646"/>
      <c r="C98" s="235" t="s">
        <v>158</v>
      </c>
      <c r="D98" s="235" t="s">
        <v>113</v>
      </c>
      <c r="E98" s="650"/>
    </row>
    <row r="99" spans="2:5" ht="15" thickTop="1">
      <c r="B99" s="237" t="s">
        <v>47</v>
      </c>
      <c r="C99" s="238" t="s">
        <v>114</v>
      </c>
      <c r="D99" s="238" t="s">
        <v>114</v>
      </c>
      <c r="E99" s="233">
        <v>11.37</v>
      </c>
    </row>
    <row r="100" spans="2:5" ht="15" thickBot="1">
      <c r="B100" s="239"/>
      <c r="C100" s="239" t="s">
        <v>115</v>
      </c>
      <c r="D100" s="239" t="s">
        <v>115</v>
      </c>
      <c r="E100" s="240" t="s">
        <v>175</v>
      </c>
    </row>
    <row r="101" spans="2:5">
      <c r="B101" s="241" t="s">
        <v>117</v>
      </c>
      <c r="C101" s="242">
        <v>5.08</v>
      </c>
      <c r="D101" s="242">
        <v>7.15</v>
      </c>
      <c r="E101" s="233">
        <v>8.1300000000000008</v>
      </c>
    </row>
    <row r="102" spans="2:5" ht="15" thickBot="1">
      <c r="B102" s="239"/>
      <c r="C102" s="243"/>
      <c r="D102" s="243"/>
      <c r="E102" s="240" t="s">
        <v>118</v>
      </c>
    </row>
    <row r="103" spans="2:5">
      <c r="B103" s="241" t="s">
        <v>119</v>
      </c>
      <c r="C103" s="242">
        <v>3.47</v>
      </c>
      <c r="D103" s="242">
        <v>6.69</v>
      </c>
      <c r="E103" s="233">
        <v>7.15</v>
      </c>
    </row>
    <row r="104" spans="2:5" ht="15" thickBot="1">
      <c r="B104" s="239"/>
      <c r="C104" s="243"/>
      <c r="D104" s="243"/>
      <c r="E104" s="244" t="s">
        <v>176</v>
      </c>
    </row>
    <row r="105" spans="2:5">
      <c r="B105" s="241" t="s">
        <v>121</v>
      </c>
      <c r="C105" s="242">
        <v>2.4</v>
      </c>
      <c r="D105" s="242">
        <v>6.88</v>
      </c>
      <c r="E105" s="233">
        <v>7</v>
      </c>
    </row>
    <row r="106" spans="2:5" ht="15" thickBot="1">
      <c r="B106" s="239"/>
      <c r="C106" s="243"/>
      <c r="D106" s="243"/>
      <c r="E106" s="240" t="s">
        <v>122</v>
      </c>
    </row>
    <row r="107" spans="2:5">
      <c r="B107" s="241" t="s">
        <v>18</v>
      </c>
      <c r="C107" s="242">
        <v>4.9000000000000004</v>
      </c>
      <c r="D107" s="238">
        <v>6.2</v>
      </c>
      <c r="E107" s="233">
        <v>7.6</v>
      </c>
    </row>
    <row r="108" spans="2:5">
      <c r="B108" s="238"/>
      <c r="C108" s="245"/>
      <c r="D108" s="238" t="s">
        <v>123</v>
      </c>
      <c r="E108" s="233" t="s">
        <v>124</v>
      </c>
    </row>
    <row r="109" spans="2:5" ht="15" thickBot="1">
      <c r="B109" s="239"/>
      <c r="C109" s="243"/>
      <c r="D109" s="239" t="s">
        <v>177</v>
      </c>
      <c r="E109" s="240" t="s">
        <v>126</v>
      </c>
    </row>
    <row r="110" spans="2:5">
      <c r="B110" s="241" t="s">
        <v>50</v>
      </c>
      <c r="C110" s="238">
        <v>3.29</v>
      </c>
      <c r="D110" s="238">
        <v>6.75</v>
      </c>
      <c r="E110" s="233">
        <v>5.66</v>
      </c>
    </row>
    <row r="111" spans="2:5">
      <c r="B111" s="238"/>
      <c r="C111" s="238" t="s">
        <v>163</v>
      </c>
      <c r="D111" s="238" t="s">
        <v>163</v>
      </c>
      <c r="E111" s="233" t="s">
        <v>128</v>
      </c>
    </row>
    <row r="112" spans="2:5">
      <c r="B112" s="238"/>
      <c r="C112" s="238" t="s">
        <v>164</v>
      </c>
      <c r="D112" s="238" t="s">
        <v>164</v>
      </c>
      <c r="E112" s="246" t="s">
        <v>129</v>
      </c>
    </row>
    <row r="113" spans="2:5">
      <c r="B113" s="238"/>
      <c r="C113" s="238"/>
      <c r="D113" s="238"/>
      <c r="E113" s="246" t="s">
        <v>130</v>
      </c>
    </row>
    <row r="114" spans="2:5" ht="15" thickBot="1">
      <c r="B114" s="239"/>
      <c r="C114" s="239"/>
      <c r="D114" s="239"/>
      <c r="E114" s="240" t="s">
        <v>178</v>
      </c>
    </row>
    <row r="115" spans="2:5">
      <c r="B115" s="241" t="s">
        <v>133</v>
      </c>
      <c r="C115" s="242" t="s">
        <v>114</v>
      </c>
      <c r="D115" s="242" t="s">
        <v>114</v>
      </c>
      <c r="E115" s="233">
        <v>14.29</v>
      </c>
    </row>
    <row r="116" spans="2:5">
      <c r="B116" s="238"/>
      <c r="C116" s="249"/>
      <c r="D116" s="249"/>
      <c r="E116" s="233" t="s">
        <v>179</v>
      </c>
    </row>
    <row r="117" spans="2:5" ht="15" thickBot="1">
      <c r="B117" s="239"/>
      <c r="C117" s="248"/>
      <c r="D117" s="248"/>
      <c r="E117" s="240" t="s">
        <v>180</v>
      </c>
    </row>
    <row r="118" spans="2:5">
      <c r="B118" s="241" t="s">
        <v>19</v>
      </c>
      <c r="C118" s="242">
        <v>5.08</v>
      </c>
      <c r="D118" s="242">
        <v>8.27</v>
      </c>
      <c r="E118" s="233">
        <v>8.6300000000000008</v>
      </c>
    </row>
    <row r="119" spans="2:5">
      <c r="B119" s="238"/>
      <c r="C119" s="245"/>
      <c r="D119" s="245"/>
      <c r="E119" s="246" t="s">
        <v>135</v>
      </c>
    </row>
    <row r="120" spans="2:5" ht="15" thickBot="1">
      <c r="B120" s="239"/>
      <c r="C120" s="243"/>
      <c r="D120" s="243"/>
      <c r="E120" s="244" t="s">
        <v>181</v>
      </c>
    </row>
    <row r="121" spans="2:5" ht="15" thickTop="1">
      <c r="B121" s="237" t="s">
        <v>137</v>
      </c>
      <c r="C121" s="247">
        <v>7.93</v>
      </c>
      <c r="D121" s="247">
        <v>6.97</v>
      </c>
      <c r="E121" s="233">
        <v>10.25</v>
      </c>
    </row>
    <row r="122" spans="2:5" ht="15" thickBot="1">
      <c r="B122" s="239"/>
      <c r="C122" s="243"/>
      <c r="D122" s="243"/>
      <c r="E122" s="240" t="s">
        <v>182</v>
      </c>
    </row>
    <row r="123" spans="2:5">
      <c r="B123" s="241" t="s">
        <v>139</v>
      </c>
      <c r="C123" s="242">
        <v>3.44</v>
      </c>
      <c r="D123" s="242">
        <v>6.75</v>
      </c>
      <c r="E123" s="233">
        <v>7.1</v>
      </c>
    </row>
    <row r="124" spans="2:5" ht="15" thickBot="1">
      <c r="B124" s="239"/>
      <c r="C124" s="243"/>
      <c r="D124" s="243"/>
      <c r="E124" s="244" t="s">
        <v>140</v>
      </c>
    </row>
    <row r="125" spans="2:5">
      <c r="B125" s="241" t="s">
        <v>51</v>
      </c>
      <c r="C125" s="242">
        <v>4</v>
      </c>
      <c r="D125" s="242">
        <v>5.7</v>
      </c>
      <c r="E125" s="233">
        <v>6.7</v>
      </c>
    </row>
    <row r="126" spans="2:5" ht="15" thickBot="1">
      <c r="B126" s="239"/>
      <c r="C126" s="243"/>
      <c r="D126" s="243"/>
      <c r="E126" s="240" t="s">
        <v>183</v>
      </c>
    </row>
    <row r="127" spans="2:5">
      <c r="B127" s="241" t="s">
        <v>142</v>
      </c>
      <c r="C127" s="242" t="s">
        <v>114</v>
      </c>
      <c r="D127" s="242" t="s">
        <v>114</v>
      </c>
      <c r="E127" s="233">
        <v>9.1</v>
      </c>
    </row>
    <row r="128" spans="2:5" ht="15" thickBot="1">
      <c r="B128" s="239"/>
      <c r="C128" s="248"/>
      <c r="D128" s="248"/>
      <c r="E128" s="240" t="s">
        <v>184</v>
      </c>
    </row>
    <row r="129" spans="2:5">
      <c r="B129" s="241" t="s">
        <v>20</v>
      </c>
      <c r="C129" s="242">
        <v>4.32</v>
      </c>
      <c r="D129" s="242">
        <v>7</v>
      </c>
      <c r="E129" s="233">
        <v>7.63</v>
      </c>
    </row>
    <row r="130" spans="2:5" ht="15" thickBot="1">
      <c r="B130" s="239"/>
      <c r="C130" s="243"/>
      <c r="D130" s="243"/>
      <c r="E130" s="240" t="s">
        <v>185</v>
      </c>
    </row>
    <row r="131" spans="2:5">
      <c r="B131" s="241" t="s">
        <v>147</v>
      </c>
      <c r="C131" s="238">
        <v>2.2400000000000002</v>
      </c>
      <c r="D131" s="238">
        <v>6.75</v>
      </c>
      <c r="E131" s="233">
        <v>6.48</v>
      </c>
    </row>
    <row r="132" spans="2:5" ht="15" thickBot="1">
      <c r="B132" s="239"/>
      <c r="C132" s="239" t="s">
        <v>186</v>
      </c>
      <c r="D132" s="239" t="s">
        <v>186</v>
      </c>
      <c r="E132" s="240" t="s">
        <v>187</v>
      </c>
    </row>
    <row r="133" spans="2:5">
      <c r="B133" s="241" t="s">
        <v>149</v>
      </c>
      <c r="C133" s="242">
        <v>4.16</v>
      </c>
      <c r="D133" s="242">
        <v>6.8</v>
      </c>
      <c r="E133" s="233">
        <v>7.3</v>
      </c>
    </row>
    <row r="134" spans="2:5">
      <c r="B134" s="238"/>
      <c r="C134" s="245"/>
      <c r="D134" s="245"/>
      <c r="E134" s="246" t="s">
        <v>188</v>
      </c>
    </row>
    <row r="135" spans="2:5" ht="15" thickBot="1">
      <c r="B135" s="239"/>
      <c r="C135" s="243"/>
      <c r="D135" s="243"/>
      <c r="E135" s="240" t="s">
        <v>189</v>
      </c>
    </row>
    <row r="136" spans="2:5" ht="15" thickBot="1">
      <c r="B136" s="239" t="s">
        <v>152</v>
      </c>
      <c r="C136" s="239" t="s">
        <v>161</v>
      </c>
      <c r="D136" s="239" t="s">
        <v>161</v>
      </c>
      <c r="E136" s="244" t="s">
        <v>190</v>
      </c>
    </row>
    <row r="137" spans="2:5">
      <c r="B137" s="241" t="s">
        <v>154</v>
      </c>
      <c r="C137" s="242" t="s">
        <v>191</v>
      </c>
      <c r="D137" s="242" t="s">
        <v>192</v>
      </c>
      <c r="E137" s="233" t="s">
        <v>193</v>
      </c>
    </row>
    <row r="138" spans="2:5" ht="15" thickBot="1">
      <c r="B138" s="239"/>
      <c r="C138" s="243"/>
      <c r="D138" s="243"/>
      <c r="E138" s="244" t="s">
        <v>194</v>
      </c>
    </row>
  </sheetData>
  <mergeCells count="8">
    <mergeCell ref="B97:B98"/>
    <mergeCell ref="C97:D97"/>
    <mergeCell ref="E97:E98"/>
    <mergeCell ref="B2:B3"/>
    <mergeCell ref="C2:D2"/>
    <mergeCell ref="B51:B52"/>
    <mergeCell ref="C51:D51"/>
    <mergeCell ref="E51:E52"/>
  </mergeCells>
  <hyperlinks>
    <hyperlink ref="E14" r:id="rId1" display="https://www.legifrance.gouv.fr/affichTexte.do?cidTexte=JORFTEXT000035468968" xr:uid="{00000000-0004-0000-0200-000000000000}"/>
    <hyperlink ref="E17" r:id="rId2" display="https://www.bundesnetzagentur.de/DE/Sachgebiete/Telekommunikation/Unternehmen_Institutionen/Marktregulierung/massstaebe_methoden/Kapitalkostensatz/kapitalkostensatz-node.html" xr:uid="{00000000-0004-0000-0200-000001000000}"/>
    <hyperlink ref="E18" r:id="rId3" display="https://www.cullen-international.com/product/documents/sections/?section=11c28b99-cf48-4be5-877a-452d2a7b936f&amp;amp;orderBy=country&amp;amp;uniqueNumber=B5TEEU20180004" xr:uid="{00000000-0004-0000-0200-000002000000}"/>
    <hyperlink ref="E19" r:id="rId4" display="http://www.cullen-international.com/product/binarydocs/19975" xr:uid="{00000000-0004-0000-0200-000003000000}"/>
    <hyperlink ref="E20" r:id="rId5" display="http://www.cullen-international.com/product/binarydocs/17268" xr:uid="{00000000-0004-0000-0200-000004000000}"/>
    <hyperlink ref="E23" r:id="rId6" display="http://www.comreg.ie/_fileupload/publications/ComReg14136.pdf" xr:uid="{00000000-0004-0000-0200-000005000000}"/>
    <hyperlink ref="E30" r:id="rId7" display="https://www.acm.nl/en/download/publication/?id=14471" xr:uid="{00000000-0004-0000-0200-000006000000}"/>
    <hyperlink ref="E32" r:id="rId8" display="https://www.nkom.no/marked/markedsregulering-smp/%C3%B8konomisk-regulering/kapitalkostnad-wacc/_attachment/31138?_download=true&amp;amp;_ts=1600212c146" xr:uid="{00000000-0004-0000-0200-000007000000}"/>
    <hyperlink ref="E34" r:id="rId9" display="https://www.anacom.pt/render.jsp?contentId=1413470" xr:uid="{00000000-0004-0000-0200-000008000000}"/>
    <hyperlink ref="E37" r:id="rId10" display="https://www.cnmc.es/sites/default/files/1889867_0.pdf" xr:uid="{00000000-0004-0000-0200-000009000000}"/>
    <hyperlink ref="E39" r:id="rId11" display="https://www.pts.se/globalassets/startpage/dokument/icke-legala-dokument/remisser/2016/telefoni-o-internet/smd-eu/marknad-1/4.-pts-konsultationssvar-pa-samrad-uppdaterad-kalkylranta-for-det-fasta-natet.pdf" xr:uid="{00000000-0004-0000-0200-00000A000000}"/>
    <hyperlink ref="E42" r:id="rId12" display="https://www.comcom.admin.ch/comcom/de/home/die-kommission/entscheide/letzte-entscheide.html" xr:uid="{00000000-0004-0000-0200-00000B000000}"/>
    <hyperlink ref="E56" r:id="rId13" display="http://www.bipt.be/en/operators/telecommunication/Markets/price-and-cost-monitoring/cost-accounting/bipt-council-decision-of-26-february-2015-regarding-the-cost-of-capital-for-operators-with-a-significant-market-power-in-belgium" xr:uid="{00000000-0004-0000-0200-00000C000000}"/>
    <hyperlink ref="E65" r:id="rId14" display="https://www.bundesnetzagentur.de/DE/Sachgebiete/Telekommunikation/Unternehmen_Institutionen/Marktregulierung/massstaebe_methoden/Kapitalkostensatz/kapitalkostensatz-node.html" xr:uid="{00000000-0004-0000-0200-00000D000000}"/>
    <hyperlink ref="E66" r:id="rId15" display="https://www.cullen-international.com/product/documents/sections/?section=11c28b99-cf48-4be5-877a-452d2a7b936f&amp;amp;orderBy=country&amp;amp;uniqueNumber=B5TEEU20180004" xr:uid="{00000000-0004-0000-0200-00000E000000}"/>
    <hyperlink ref="E67" r:id="rId16" display="http://www.cullen-international.com/product/binarydocs/19975" xr:uid="{00000000-0004-0000-0200-00000F000000}"/>
    <hyperlink ref="E79" r:id="rId17" display="https://circabc.europa.eu/sd/a/13c5093b-088d-45cd-b6fe-291b9ebf5de9/NL-2016-1947 Adopted_EN_PUBLIC.pdf" xr:uid="{00000000-0004-0000-0200-000010000000}"/>
    <hyperlink ref="E83" r:id="rId18" display="https://www.anacom.pt/render.jsp?contentId=1413470" xr:uid="{00000000-0004-0000-0200-000011000000}"/>
    <hyperlink ref="E85" r:id="rId19" display="https://www.cnmc.es/file/170783/download" xr:uid="{00000000-0004-0000-0200-000012000000}"/>
    <hyperlink ref="E100" r:id="rId20" display="http://www.cullen-international.com/product/binarydocs/10356" xr:uid="{00000000-0004-0000-0200-000013000000}"/>
    <hyperlink ref="E102" r:id="rId21" display="http://www.bipt.be/en/operators/telecommunication/Markets/price-and-cost-monitoring/cost-accounting/bipt-council-decision-of-26-february-2015-regarding-the-cost-of-capital-for-operators-with-a-significant-market-power-in-belgium" xr:uid="{00000000-0004-0000-0200-000014000000}"/>
    <hyperlink ref="E106" r:id="rId22" display="https://www.viestintavirasto.fi/ohjausjavalvonta/ohjeetjajulkaisut/ohjeidentulkintojensuositustenjaselvitystenasiakirjat/kohtuullinensitoutuneenpaaomantuottokiinteassateleverkkotoiminnassamatkaviestinverkkotoiminnassajadigitaalistentelevisiolahetyspalvelujentoiminnassa_2.html" xr:uid="{00000000-0004-0000-0200-000015000000}"/>
    <hyperlink ref="E109" r:id="rId23" display="https://www.legifrance.gouv.fr/affichTexte.do?cidTexte=JORFTEXT000035468968" xr:uid="{00000000-0004-0000-0200-000016000000}"/>
    <hyperlink ref="E112" r:id="rId24" display="https://www.bundesnetzagentur.de/DE/Sachgebiete/Telekommunikation/Unternehmen_Institutionen/Marktregulierung/massstaebe_methoden/Kapitalkostensatz/kapitalkostensatz-node.html" xr:uid="{00000000-0004-0000-0200-000017000000}"/>
    <hyperlink ref="E113" r:id="rId25" display="https://www.cullen-international.com/product/documents/sections/?section=11c28b99-cf48-4be5-877a-452d2a7b936f&amp;amp;orderBy=country&amp;amp;uniqueNumber=B5TEEU20180004" xr:uid="{00000000-0004-0000-0200-000018000000}"/>
    <hyperlink ref="E114" r:id="rId26" display="http://www.cullen-international.com/product/binarydocs/18313" xr:uid="{00000000-0004-0000-0200-000019000000}"/>
    <hyperlink ref="E117" r:id="rId27" display="http://www.eett.gr/opencms/opencms/admin/downloads/telec/apofaseis_eett/kanonistikes_apofaseis_eett/AP675_010.pdf" xr:uid="{00000000-0004-0000-0200-00001A000000}"/>
    <hyperlink ref="E119" r:id="rId28" display="http://www.comreg.ie/_fileupload/publications/ComReg14136.pdf" xr:uid="{00000000-0004-0000-0200-00001B000000}"/>
    <hyperlink ref="E122" r:id="rId29" display="http://www.agcom.it/visualizza-documento/c0dc0d62-f3e7-4179-9b73-c015c115db8d" xr:uid="{00000000-0004-0000-0200-00001C000000}"/>
    <hyperlink ref="E126" r:id="rId30" display="https://www.acm.nl/nl/download/publicatie/?id=11385" xr:uid="{00000000-0004-0000-0200-00001D000000}"/>
    <hyperlink ref="E128" r:id="rId31" display="https://www.nkom.no/marked/markedsregulering-smp/%C3%B8konomisk-regulering/kapitalkostnad-wacc/_attachment/31121?_download=true&amp;amp;_ts=15ffdf8eec1" xr:uid="{00000000-0004-0000-0200-00001E000000}"/>
    <hyperlink ref="E130" r:id="rId32" display="https://www.anacom.pt/render.jsp?contentId=1455136" xr:uid="{00000000-0004-0000-0200-00001F000000}"/>
    <hyperlink ref="E132" r:id="rId33" display="https://www.cnmc.es/sites/default/files/1889867_0.pdf" xr:uid="{00000000-0004-0000-0200-000020000000}"/>
    <hyperlink ref="E134" r:id="rId34" display="http://www.pts.se/sv/Dokument/Beslut/Tele/2016/Beslut-om-skyldigheter-pa-marknaden-for-mobil-samtalsterminering/" xr:uid="{00000000-0004-0000-0200-000021000000}"/>
    <hyperlink ref="E135" r:id="rId35" display="http://pts.se/upload/Remisser/2016/Samtrafik o mobil lric/15-4802-samrad-kalkylrantan-mobila-nat-uppdatering-2016-PTS-ER-2016_5.pdf" xr:uid="{00000000-0004-0000-0200-000022000000}"/>
    <hyperlink ref="E11" r:id="rId36" display="https://www.viestintavirasto.fi/ohjausjavalvonta/ohjeetjajulkaisut/ohjeidentulkintojensuositustenjaselvitystenasiakirjat/kohtuullinensitoutuneenpaaomantuottokiinteassateleverkkotoiminnassamatkaviestinverkkotoiminnassajadigitaalistentelevisiolahetyspalvelujentoiminnassa_2.html" xr:uid="{00000000-0004-0000-0200-000023000000}"/>
    <hyperlink ref="E7" r:id="rId37" display="http://www.bipt.be/en/operators/telecommunication/Markets/price-and-cost-monitoring/cost-accounting/bipt-council-decision-of-26-february-2015-regarding-the-cost-of-capital-for-operators-with-a-significant-market-power-in-belgium" xr:uid="{00000000-0004-0000-0200-000024000000}"/>
    <hyperlink ref="E5" r:id="rId38" display="http://www.cullen-international.com/product/binarydocs/19098" xr:uid="{00000000-0004-0000-0200-000025000000}"/>
    <hyperlink ref="E60" r:id="rId39" display="https://www.viestintavirasto.fi/ohjausjavalvonta/ohjeetjajulkaisut/ohjeidentulkintojensuositustenjaselvitystenasiakirjat/kohtuullinensitoutuneenpaaomantuottokiinteassateleverkkotoiminnassamatkaviestinverkkotoiminnassajadigitaalistentelevisiolahetyspalvelujentoiminnassa_2.html" xr:uid="{00000000-0004-0000-0200-000026000000}"/>
    <hyperlink ref="F60:K60" r:id="rId40" display="https://www.viestintavirasto.fi/ohjausjavalvonta/ohjeetjajulkaisut/ohjeidentulkintojensuositustenjaselvitystenasiakirjat/kohtuullinensitoutuneenpaaomantuottokiinteassateleverkkotoiminnassamatkaviestinverkkotoiminnassajadigitaalistentelevisiolahetyspalvelujentoiminnassa_2.html" xr:uid="{00000000-0004-0000-0200-000027000000}"/>
  </hyperlinks>
  <pageMargins left="0.7" right="0.7" top="0.75" bottom="0.75" header="0.3" footer="0.3"/>
  <pageSetup paperSize="9" orientation="portrait" r:id="rId41"/>
  <drawing r:id="rId4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41"/>
  <sheetViews>
    <sheetView showGridLines="0" topLeftCell="A93" zoomScale="90" zoomScaleNormal="90" workbookViewId="0">
      <selection activeCell="C98" sqref="C98"/>
    </sheetView>
  </sheetViews>
  <sheetFormatPr baseColWidth="10" defaultColWidth="6.5546875" defaultRowHeight="14.4"/>
  <cols>
    <col min="1" max="1" width="16.44140625" style="414" customWidth="1"/>
    <col min="2" max="3" width="14.33203125" style="414" customWidth="1"/>
    <col min="4" max="4" width="13.44140625" style="421" customWidth="1"/>
    <col min="5" max="5" width="13.88671875" style="421" customWidth="1"/>
    <col min="6" max="6" width="15.6640625" style="421" customWidth="1"/>
    <col min="7" max="7" width="8.6640625" style="415" customWidth="1"/>
    <col min="8" max="8" width="8.5546875" style="414" customWidth="1"/>
    <col min="9" max="9" width="8.44140625" style="414" customWidth="1"/>
    <col min="10" max="10" width="13.33203125" style="414" customWidth="1"/>
    <col min="11" max="11" width="11.6640625" style="414" bestFit="1" customWidth="1"/>
    <col min="12" max="12" width="13.33203125" style="414" bestFit="1" customWidth="1"/>
    <col min="13" max="13" width="8.88671875" style="414" customWidth="1"/>
    <col min="14" max="16384" width="6.5546875" style="414"/>
  </cols>
  <sheetData>
    <row r="1" spans="1:27">
      <c r="A1" s="33" t="s">
        <v>264</v>
      </c>
      <c r="B1" s="33"/>
      <c r="C1" s="250"/>
      <c r="D1" s="251"/>
      <c r="E1" s="251"/>
      <c r="F1" s="251"/>
      <c r="G1" s="254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</row>
    <row r="2" spans="1:27">
      <c r="A2" s="250"/>
      <c r="B2" s="250"/>
      <c r="C2" s="250"/>
      <c r="D2" s="251"/>
      <c r="E2" s="251"/>
      <c r="F2" s="251"/>
      <c r="G2" s="254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</row>
    <row r="3" spans="1:27" s="417" customFormat="1">
      <c r="A3" s="416" t="s">
        <v>243</v>
      </c>
      <c r="C3" s="418"/>
      <c r="D3" s="418"/>
      <c r="E3" s="418"/>
      <c r="F3" s="419"/>
    </row>
    <row r="4" spans="1:27" hidden="1">
      <c r="A4" s="250"/>
      <c r="B4" s="395" t="s">
        <v>48</v>
      </c>
      <c r="C4" s="395" t="s">
        <v>208</v>
      </c>
      <c r="D4" s="395" t="s">
        <v>204</v>
      </c>
      <c r="E4" s="395" t="s">
        <v>205</v>
      </c>
      <c r="F4" s="395" t="s">
        <v>88</v>
      </c>
      <c r="G4" s="395" t="s">
        <v>15</v>
      </c>
      <c r="H4" s="391" t="s">
        <v>203</v>
      </c>
      <c r="I4" s="250"/>
      <c r="J4" s="250"/>
      <c r="K4" s="250"/>
      <c r="L4" s="259" t="s">
        <v>206</v>
      </c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</row>
    <row r="5" spans="1:27" hidden="1">
      <c r="A5" s="250"/>
      <c r="B5" s="396">
        <v>41348</v>
      </c>
      <c r="C5" s="397"/>
      <c r="D5" s="397"/>
      <c r="E5" s="397"/>
      <c r="F5" s="397"/>
      <c r="G5" s="398">
        <v>6.7000000000000004E-2</v>
      </c>
      <c r="H5" s="392" t="s">
        <v>51</v>
      </c>
      <c r="I5" s="250"/>
      <c r="J5" s="285"/>
      <c r="K5" s="250"/>
      <c r="L5" s="259" t="s">
        <v>207</v>
      </c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</row>
    <row r="6" spans="1:27" hidden="1">
      <c r="A6" s="250"/>
      <c r="B6" s="396">
        <v>41547</v>
      </c>
      <c r="C6" s="397"/>
      <c r="D6" s="397"/>
      <c r="E6" s="397"/>
      <c r="F6" s="397"/>
      <c r="G6" s="398">
        <v>0.1137</v>
      </c>
      <c r="H6" s="392" t="s">
        <v>47</v>
      </c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</row>
    <row r="7" spans="1:27" hidden="1">
      <c r="A7" s="250"/>
      <c r="B7" s="396">
        <v>41609</v>
      </c>
      <c r="C7" s="398"/>
      <c r="D7" s="398">
        <v>4.4600000000000001E-2</v>
      </c>
      <c r="E7" s="397"/>
      <c r="F7" s="397"/>
      <c r="G7" s="397"/>
      <c r="H7" s="392" t="s">
        <v>152</v>
      </c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</row>
    <row r="8" spans="1:27" hidden="1">
      <c r="A8" s="250"/>
      <c r="B8" s="396">
        <v>41991</v>
      </c>
      <c r="C8" s="398"/>
      <c r="D8" s="398">
        <v>8.1799999999999998E-2</v>
      </c>
      <c r="E8" s="397"/>
      <c r="F8" s="397"/>
      <c r="G8" s="398">
        <v>8.6300000000000002E-2</v>
      </c>
      <c r="H8" s="392" t="s">
        <v>19</v>
      </c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AA8" s="422"/>
    </row>
    <row r="9" spans="1:27" hidden="1">
      <c r="A9" s="250"/>
      <c r="B9" s="399">
        <v>42061</v>
      </c>
      <c r="C9" s="400">
        <v>8.1300000000000011E-2</v>
      </c>
      <c r="D9" s="397"/>
      <c r="E9" s="401"/>
      <c r="F9" s="397"/>
      <c r="G9" s="398"/>
      <c r="H9" s="393" t="s">
        <v>201</v>
      </c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</row>
    <row r="10" spans="1:27" hidden="1">
      <c r="A10" s="250"/>
      <c r="B10" s="396">
        <v>42186</v>
      </c>
      <c r="C10" s="398"/>
      <c r="D10" s="398">
        <v>6.0599999999999994E-2</v>
      </c>
      <c r="E10" s="398">
        <v>8.6699999999999999E-2</v>
      </c>
      <c r="F10" s="397"/>
      <c r="G10" s="397"/>
      <c r="H10" s="392" t="s">
        <v>51</v>
      </c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</row>
    <row r="11" spans="1:27" hidden="1">
      <c r="A11" s="250"/>
      <c r="B11" s="396">
        <v>42313</v>
      </c>
      <c r="C11" s="398"/>
      <c r="D11" s="398">
        <v>8.77E-2</v>
      </c>
      <c r="E11" s="398">
        <v>9.9700000000000011E-2</v>
      </c>
      <c r="F11" s="398">
        <v>0.1197</v>
      </c>
      <c r="G11" s="398">
        <v>0.10249999999999999</v>
      </c>
      <c r="H11" s="392" t="s">
        <v>137</v>
      </c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</row>
    <row r="12" spans="1:27" hidden="1">
      <c r="A12" s="250"/>
      <c r="B12" s="396">
        <v>42535</v>
      </c>
      <c r="C12" s="398">
        <v>7.0999999999999994E-2</v>
      </c>
      <c r="D12" s="398"/>
      <c r="E12" s="398">
        <v>7.7100000000000002E-2</v>
      </c>
      <c r="F12" s="397"/>
      <c r="G12" s="398"/>
      <c r="H12" s="392" t="s">
        <v>139</v>
      </c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</row>
    <row r="13" spans="1:27" hidden="1">
      <c r="A13" s="250"/>
      <c r="B13" s="396">
        <v>42627</v>
      </c>
      <c r="C13" s="397"/>
      <c r="D13" s="397"/>
      <c r="E13" s="397"/>
      <c r="F13" s="397"/>
      <c r="G13" s="398">
        <v>7.2999999999999995E-2</v>
      </c>
      <c r="H13" s="392" t="s">
        <v>149</v>
      </c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</row>
    <row r="14" spans="1:27" hidden="1">
      <c r="A14" s="250"/>
      <c r="B14" s="396">
        <v>42736</v>
      </c>
      <c r="C14" s="398"/>
      <c r="D14" s="398">
        <v>9.0650999999999995E-2</v>
      </c>
      <c r="E14" s="398"/>
      <c r="F14" s="397"/>
      <c r="G14" s="397"/>
      <c r="H14" s="392" t="s">
        <v>20</v>
      </c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</row>
    <row r="15" spans="1:27" hidden="1">
      <c r="A15" s="250"/>
      <c r="B15" s="396">
        <v>42916</v>
      </c>
      <c r="C15" s="398"/>
      <c r="D15" s="398">
        <f>$J$31</f>
        <v>6.6900000000000015E-2</v>
      </c>
      <c r="E15" s="401"/>
      <c r="F15" s="397"/>
      <c r="G15" s="398">
        <f>$H$73</f>
        <v>6.7500000000000004E-2</v>
      </c>
      <c r="H15" s="392" t="s">
        <v>50</v>
      </c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</row>
    <row r="16" spans="1:27" hidden="1">
      <c r="A16" s="250"/>
      <c r="B16" s="396">
        <v>42920</v>
      </c>
      <c r="C16" s="398">
        <v>7.5999999999999998E-2</v>
      </c>
      <c r="D16" s="401"/>
      <c r="E16" s="397"/>
      <c r="F16" s="397"/>
      <c r="G16" s="398"/>
      <c r="H16" s="392" t="s">
        <v>18</v>
      </c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</row>
    <row r="17" spans="1:23" hidden="1">
      <c r="A17" s="250"/>
      <c r="B17" s="396">
        <v>42940</v>
      </c>
      <c r="C17" s="398"/>
      <c r="D17" s="398"/>
      <c r="E17" s="398">
        <v>7.9100000000000004E-2</v>
      </c>
      <c r="F17" s="397"/>
      <c r="G17" s="397"/>
      <c r="H17" s="392" t="s">
        <v>47</v>
      </c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</row>
    <row r="18" spans="1:23" hidden="1">
      <c r="A18" s="250"/>
      <c r="B18" s="396">
        <v>43066</v>
      </c>
      <c r="C18" s="397"/>
      <c r="D18" s="398">
        <v>8.3000000000000004E-2</v>
      </c>
      <c r="E18" s="397"/>
      <c r="F18" s="397"/>
      <c r="G18" s="398">
        <v>9.0999999999999998E-2</v>
      </c>
      <c r="H18" s="392" t="s">
        <v>142</v>
      </c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</row>
    <row r="19" spans="1:23" hidden="1">
      <c r="A19" s="250"/>
      <c r="B19" s="396">
        <v>43073</v>
      </c>
      <c r="C19" s="398"/>
      <c r="D19" s="398">
        <v>5.04E-2</v>
      </c>
      <c r="E19" s="398">
        <v>7.0400000000000004E-2</v>
      </c>
      <c r="F19" s="397"/>
      <c r="G19" s="398">
        <v>7.1500000000000008E-2</v>
      </c>
      <c r="H19" s="392" t="s">
        <v>119</v>
      </c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</row>
    <row r="20" spans="1:23" hidden="1">
      <c r="A20" s="250"/>
      <c r="B20" s="396">
        <v>43083</v>
      </c>
      <c r="C20" s="398">
        <v>6.480000000000001E-2</v>
      </c>
      <c r="D20" s="401"/>
      <c r="E20" s="397"/>
      <c r="F20" s="397"/>
      <c r="G20" s="397"/>
      <c r="H20" s="392" t="s">
        <v>147</v>
      </c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</row>
    <row r="21" spans="1:23" hidden="1">
      <c r="A21" s="250"/>
      <c r="B21" s="396">
        <v>43182</v>
      </c>
      <c r="C21" s="400"/>
      <c r="D21" s="400">
        <v>6.3E-2</v>
      </c>
      <c r="E21" s="397"/>
      <c r="F21" s="397"/>
      <c r="G21" s="397"/>
      <c r="H21" s="392" t="s">
        <v>149</v>
      </c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</row>
    <row r="22" spans="1:23" hidden="1">
      <c r="A22" s="250"/>
      <c r="B22" s="396">
        <v>43187</v>
      </c>
      <c r="C22" s="398"/>
      <c r="D22" s="398">
        <v>7.9000000000000001E-2</v>
      </c>
      <c r="E22" s="398">
        <v>8.900000000000001E-2</v>
      </c>
      <c r="F22" s="397"/>
      <c r="G22" s="397"/>
      <c r="H22" s="392" t="s">
        <v>52</v>
      </c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</row>
    <row r="23" spans="1:23" hidden="1">
      <c r="A23" s="250"/>
      <c r="B23" s="396">
        <v>43223</v>
      </c>
      <c r="C23" s="398"/>
      <c r="D23" s="398">
        <v>6.5000000000000002E-2</v>
      </c>
      <c r="E23" s="398">
        <v>7.5999999999999998E-2</v>
      </c>
      <c r="F23" s="397"/>
      <c r="G23" s="398">
        <v>7.0000000000000007E-2</v>
      </c>
      <c r="H23" s="392" t="s">
        <v>121</v>
      </c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</row>
    <row r="24" spans="1:23" hidden="1">
      <c r="A24" s="250"/>
      <c r="B24" s="396">
        <v>43272</v>
      </c>
      <c r="C24" s="397"/>
      <c r="D24" s="397"/>
      <c r="E24" s="397"/>
      <c r="F24" s="397"/>
      <c r="G24" s="398">
        <v>7.6299999999999993E-2</v>
      </c>
      <c r="H24" s="392" t="s">
        <v>20</v>
      </c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</row>
    <row r="25" spans="1:23" s="423" customFormat="1" hidden="1">
      <c r="A25" s="284"/>
      <c r="B25" s="402">
        <f>$E$37</f>
        <v>43356</v>
      </c>
      <c r="C25" s="403"/>
      <c r="D25" s="403"/>
      <c r="E25" s="403">
        <f>$F$37</f>
        <v>7.1217050312156124E-2</v>
      </c>
      <c r="F25" s="403">
        <f>'WACC BIPT 2019'!$G$31</f>
        <v>8.768058497633606E-2</v>
      </c>
      <c r="G25" s="403">
        <f>'WACC BIPT 2019'!$K$31</f>
        <v>8.3529076675368547E-2</v>
      </c>
      <c r="H25" s="394" t="s">
        <v>202</v>
      </c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</row>
    <row r="26" spans="1:23" hidden="1">
      <c r="A26" s="250"/>
      <c r="B26" s="250"/>
      <c r="C26" s="251"/>
      <c r="D26" s="251"/>
      <c r="E26" s="251"/>
      <c r="F26" s="254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</row>
    <row r="27" spans="1:23" hidden="1">
      <c r="A27" s="250"/>
      <c r="B27" s="250"/>
      <c r="C27" s="251"/>
      <c r="D27" s="251"/>
      <c r="E27" s="251"/>
      <c r="F27" s="254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</row>
    <row r="28" spans="1:23" hidden="1">
      <c r="A28" s="250"/>
      <c r="B28" s="261" t="s">
        <v>204</v>
      </c>
      <c r="C28" s="262" t="s">
        <v>59</v>
      </c>
      <c r="D28" s="262" t="s">
        <v>195</v>
      </c>
      <c r="E28" s="263" t="s">
        <v>48</v>
      </c>
      <c r="F28" s="263" t="s">
        <v>196</v>
      </c>
      <c r="G28" s="263" t="s">
        <v>197</v>
      </c>
      <c r="H28" s="263" t="s">
        <v>200</v>
      </c>
      <c r="I28" s="264"/>
      <c r="J28" s="250"/>
      <c r="K28" s="250"/>
      <c r="L28" s="250"/>
      <c r="M28" s="264"/>
      <c r="N28" s="250"/>
      <c r="O28" s="250"/>
      <c r="P28" s="250"/>
      <c r="Q28" s="250"/>
      <c r="R28" s="250"/>
      <c r="S28" s="250"/>
      <c r="T28" s="250"/>
      <c r="U28" s="250"/>
      <c r="V28" s="250"/>
      <c r="W28" s="250"/>
    </row>
    <row r="29" spans="1:23" hidden="1">
      <c r="A29" s="250"/>
      <c r="B29" s="265" t="s">
        <v>152</v>
      </c>
      <c r="C29" s="266" t="s">
        <v>198</v>
      </c>
      <c r="D29" s="266" t="s">
        <v>198</v>
      </c>
      <c r="E29" s="267">
        <v>41609</v>
      </c>
      <c r="F29" s="268">
        <v>4.4600000000000001E-2</v>
      </c>
      <c r="G29" s="265"/>
      <c r="H29" s="265"/>
      <c r="I29" s="264"/>
      <c r="J29" s="264"/>
      <c r="K29" s="250"/>
      <c r="L29" s="250"/>
      <c r="M29" s="264"/>
      <c r="N29" s="250"/>
      <c r="O29" s="250"/>
      <c r="P29" s="250"/>
      <c r="Q29" s="250"/>
      <c r="R29" s="250"/>
      <c r="S29" s="250"/>
      <c r="T29" s="250"/>
      <c r="U29" s="250"/>
      <c r="V29" s="250"/>
      <c r="W29" s="250"/>
    </row>
    <row r="30" spans="1:23" hidden="1">
      <c r="A30" s="250"/>
      <c r="B30" s="265" t="s">
        <v>119</v>
      </c>
      <c r="C30" s="266">
        <v>3.47</v>
      </c>
      <c r="D30" s="266">
        <v>4.41</v>
      </c>
      <c r="E30" s="267">
        <v>43073</v>
      </c>
      <c r="F30" s="268">
        <v>5.04E-2</v>
      </c>
      <c r="G30" s="269">
        <v>2.0000000000000004E-2</v>
      </c>
      <c r="H30" s="268">
        <v>7.0400000000000004E-2</v>
      </c>
      <c r="I30" s="264"/>
      <c r="J30" s="264"/>
      <c r="K30" s="250"/>
      <c r="L30" s="250"/>
      <c r="M30" s="264"/>
      <c r="N30" s="250"/>
      <c r="O30" s="250"/>
      <c r="P30" s="250"/>
      <c r="Q30" s="250"/>
      <c r="R30" s="250"/>
      <c r="S30" s="250"/>
      <c r="T30" s="250"/>
      <c r="U30" s="250"/>
      <c r="V30" s="250"/>
      <c r="W30" s="250"/>
    </row>
    <row r="31" spans="1:23" hidden="1">
      <c r="A31" s="250"/>
      <c r="B31" s="265" t="s">
        <v>50</v>
      </c>
      <c r="C31" s="266">
        <v>3.29</v>
      </c>
      <c r="D31" s="266">
        <v>6.75</v>
      </c>
      <c r="E31" s="267">
        <v>42916</v>
      </c>
      <c r="F31" s="268">
        <v>5.6600000000000004E-2</v>
      </c>
      <c r="G31" s="269">
        <v>0</v>
      </c>
      <c r="H31" s="268">
        <v>5.6600000000000004E-2</v>
      </c>
      <c r="I31" s="287">
        <f>H31-4.17%</f>
        <v>1.4900000000000004E-2</v>
      </c>
      <c r="J31" s="287">
        <f>I31+5.2%</f>
        <v>6.6900000000000015E-2</v>
      </c>
      <c r="K31" s="250"/>
      <c r="L31" s="264"/>
      <c r="M31" s="264"/>
      <c r="N31" s="250"/>
      <c r="O31" s="250"/>
      <c r="P31" s="250"/>
      <c r="Q31" s="250"/>
      <c r="R31" s="250"/>
      <c r="S31" s="250"/>
      <c r="T31" s="250"/>
      <c r="U31" s="250"/>
      <c r="V31" s="250"/>
      <c r="W31" s="250"/>
    </row>
    <row r="32" spans="1:23" hidden="1">
      <c r="A32" s="250"/>
      <c r="B32" s="265" t="s">
        <v>51</v>
      </c>
      <c r="C32" s="266">
        <v>5.3</v>
      </c>
      <c r="D32" s="266">
        <v>4.96</v>
      </c>
      <c r="E32" s="267">
        <v>42186</v>
      </c>
      <c r="F32" s="268">
        <v>6.0599999999999994E-2</v>
      </c>
      <c r="G32" s="269">
        <v>2.6100000000000005E-2</v>
      </c>
      <c r="H32" s="268">
        <v>8.6699999999999999E-2</v>
      </c>
      <c r="I32" s="264"/>
      <c r="J32" s="264"/>
      <c r="K32" s="250"/>
      <c r="L32" s="286"/>
      <c r="M32" s="264"/>
      <c r="N32" s="250"/>
      <c r="O32" s="250"/>
      <c r="P32" s="250"/>
      <c r="Q32" s="250"/>
      <c r="R32" s="250"/>
      <c r="S32" s="250"/>
      <c r="T32" s="250"/>
      <c r="U32" s="250"/>
      <c r="V32" s="250"/>
      <c r="W32" s="250"/>
    </row>
    <row r="33" spans="1:23" hidden="1">
      <c r="A33" s="250"/>
      <c r="B33" s="265" t="s">
        <v>149</v>
      </c>
      <c r="C33" s="266"/>
      <c r="D33" s="266"/>
      <c r="E33" s="267">
        <v>43182</v>
      </c>
      <c r="F33" s="270">
        <v>6.3E-2</v>
      </c>
      <c r="G33" s="265"/>
      <c r="H33" s="265"/>
      <c r="I33" s="264"/>
      <c r="J33" s="264"/>
      <c r="K33" s="264"/>
      <c r="L33" s="264"/>
      <c r="M33" s="264"/>
      <c r="N33" s="250"/>
      <c r="O33" s="250"/>
      <c r="P33" s="250"/>
      <c r="Q33" s="250"/>
      <c r="R33" s="250"/>
      <c r="S33" s="250"/>
      <c r="T33" s="250"/>
      <c r="U33" s="250"/>
      <c r="V33" s="250"/>
      <c r="W33" s="250"/>
    </row>
    <row r="34" spans="1:23" hidden="1">
      <c r="A34" s="250"/>
      <c r="B34" s="265" t="s">
        <v>147</v>
      </c>
      <c r="C34" s="266">
        <v>2.2400000000000002</v>
      </c>
      <c r="D34" s="266">
        <v>6.75</v>
      </c>
      <c r="E34" s="267">
        <v>43083</v>
      </c>
      <c r="F34" s="268">
        <v>6.480000000000001E-2</v>
      </c>
      <c r="G34" s="265"/>
      <c r="H34" s="265"/>
      <c r="I34" s="264"/>
      <c r="J34" s="264"/>
      <c r="K34" s="264"/>
      <c r="L34" s="264"/>
      <c r="M34" s="264"/>
      <c r="N34" s="250"/>
      <c r="O34" s="250"/>
      <c r="P34" s="250"/>
      <c r="Q34" s="250"/>
      <c r="R34" s="250"/>
      <c r="S34" s="250"/>
      <c r="T34" s="250"/>
      <c r="U34" s="250"/>
      <c r="V34" s="250"/>
      <c r="W34" s="250"/>
    </row>
    <row r="35" spans="1:23" hidden="1">
      <c r="A35" s="250"/>
      <c r="B35" s="265" t="s">
        <v>121</v>
      </c>
      <c r="C35" s="266">
        <v>2.4</v>
      </c>
      <c r="D35" s="266">
        <v>6.96</v>
      </c>
      <c r="E35" s="267">
        <v>43223</v>
      </c>
      <c r="F35" s="268">
        <v>6.5000000000000002E-2</v>
      </c>
      <c r="G35" s="269">
        <v>1.0999999999999996E-2</v>
      </c>
      <c r="H35" s="268">
        <v>7.5999999999999998E-2</v>
      </c>
      <c r="I35" s="264"/>
      <c r="J35" s="264"/>
      <c r="K35" s="264"/>
      <c r="L35" s="264"/>
      <c r="M35" s="264"/>
      <c r="N35" s="250"/>
      <c r="O35" s="250"/>
      <c r="P35" s="250"/>
      <c r="Q35" s="250"/>
      <c r="R35" s="250"/>
      <c r="S35" s="250"/>
      <c r="T35" s="250"/>
      <c r="U35" s="250"/>
      <c r="V35" s="250"/>
      <c r="W35" s="250"/>
    </row>
    <row r="36" spans="1:23" hidden="1">
      <c r="A36" s="250"/>
      <c r="B36" s="265" t="s">
        <v>139</v>
      </c>
      <c r="C36" s="266">
        <v>3.44</v>
      </c>
      <c r="D36" s="266">
        <v>6.75</v>
      </c>
      <c r="E36" s="267">
        <v>42535</v>
      </c>
      <c r="F36" s="268">
        <v>7.0999999999999994E-2</v>
      </c>
      <c r="G36" s="269">
        <v>6.1000000000000082E-3</v>
      </c>
      <c r="H36" s="268">
        <v>7.7100000000000002E-2</v>
      </c>
      <c r="I36" s="264"/>
      <c r="J36" s="264"/>
      <c r="K36" s="264"/>
      <c r="L36" s="264"/>
      <c r="M36" s="264"/>
      <c r="N36" s="250"/>
      <c r="O36" s="250"/>
      <c r="P36" s="250"/>
      <c r="Q36" s="250"/>
      <c r="R36" s="250"/>
      <c r="S36" s="250"/>
      <c r="T36" s="250"/>
      <c r="U36" s="250"/>
      <c r="V36" s="250"/>
      <c r="W36" s="250"/>
    </row>
    <row r="37" spans="1:23" s="424" customFormat="1" hidden="1">
      <c r="A37" s="258"/>
      <c r="B37" s="271" t="s">
        <v>202</v>
      </c>
      <c r="C37" s="272"/>
      <c r="D37" s="272"/>
      <c r="E37" s="404">
        <v>43356</v>
      </c>
      <c r="F37" s="273">
        <f>'WACC BIPT 2019'!$F$31</f>
        <v>7.1217050312156124E-2</v>
      </c>
      <c r="G37" s="274">
        <f>H37-F37</f>
        <v>1.6463534664179935E-2</v>
      </c>
      <c r="H37" s="538">
        <f>'WACC BIPT 2019'!$G$31</f>
        <v>8.768058497633606E-2</v>
      </c>
      <c r="I37" s="275"/>
      <c r="J37" s="288"/>
      <c r="K37" s="275"/>
      <c r="L37" s="275"/>
      <c r="M37" s="275"/>
      <c r="N37" s="258"/>
      <c r="O37" s="258"/>
      <c r="P37" s="258"/>
      <c r="Q37" s="258"/>
      <c r="R37" s="258"/>
      <c r="S37" s="258"/>
      <c r="T37" s="258"/>
      <c r="U37" s="258"/>
      <c r="V37" s="258"/>
      <c r="W37" s="258"/>
    </row>
    <row r="38" spans="1:23" hidden="1">
      <c r="A38" s="250"/>
      <c r="B38" s="265" t="s">
        <v>18</v>
      </c>
      <c r="C38" s="266">
        <v>4.9000000000000004</v>
      </c>
      <c r="D38" s="266">
        <v>6.2</v>
      </c>
      <c r="E38" s="267">
        <v>6.67</v>
      </c>
      <c r="F38" s="268">
        <v>7.5999999999999998E-2</v>
      </c>
      <c r="G38" s="537" t="s">
        <v>307</v>
      </c>
      <c r="H38" s="539">
        <v>5.2200000000000006</v>
      </c>
      <c r="I38" s="264"/>
      <c r="J38" s="264"/>
      <c r="K38" s="264"/>
      <c r="L38" s="264"/>
      <c r="M38" s="264"/>
      <c r="N38" s="250"/>
      <c r="O38" s="250"/>
      <c r="P38" s="250"/>
      <c r="Q38" s="250"/>
      <c r="R38" s="250"/>
      <c r="S38" s="250"/>
      <c r="T38" s="250"/>
      <c r="U38" s="250"/>
      <c r="V38" s="250"/>
      <c r="W38" s="250"/>
    </row>
    <row r="39" spans="1:23" hidden="1">
      <c r="A39" s="250"/>
      <c r="B39" s="265" t="s">
        <v>52</v>
      </c>
      <c r="C39" s="266">
        <v>3.9</v>
      </c>
      <c r="D39" s="266">
        <v>7.9</v>
      </c>
      <c r="E39" s="267">
        <v>43187</v>
      </c>
      <c r="F39" s="268">
        <v>7.9000000000000001E-2</v>
      </c>
      <c r="G39" s="269">
        <v>1.0000000000000009E-2</v>
      </c>
      <c r="H39" s="539">
        <v>42920</v>
      </c>
      <c r="I39" s="264"/>
      <c r="J39" s="264"/>
      <c r="K39" s="264"/>
      <c r="L39" s="264"/>
      <c r="M39" s="264"/>
      <c r="N39" s="250"/>
      <c r="O39" s="250"/>
      <c r="P39" s="250"/>
      <c r="Q39" s="250"/>
      <c r="R39" s="250"/>
      <c r="S39" s="250"/>
      <c r="T39" s="250"/>
      <c r="U39" s="250"/>
      <c r="V39" s="250"/>
      <c r="W39" s="250"/>
    </row>
    <row r="40" spans="1:23" hidden="1">
      <c r="A40" s="250"/>
      <c r="B40" s="265" t="s">
        <v>47</v>
      </c>
      <c r="C40" s="266" t="s">
        <v>198</v>
      </c>
      <c r="D40" s="266" t="s">
        <v>198</v>
      </c>
      <c r="E40" s="267">
        <v>42940</v>
      </c>
      <c r="F40" s="268">
        <v>7.9100000000000004E-2</v>
      </c>
      <c r="G40" s="269">
        <v>0</v>
      </c>
      <c r="H40" s="268">
        <v>7.9100000000000004E-2</v>
      </c>
      <c r="I40" s="264"/>
      <c r="J40" s="264"/>
      <c r="K40" s="264"/>
      <c r="L40" s="264"/>
      <c r="M40" s="264"/>
      <c r="N40" s="250"/>
      <c r="O40" s="250"/>
      <c r="P40" s="250"/>
      <c r="Q40" s="250"/>
      <c r="R40" s="250"/>
      <c r="S40" s="250"/>
      <c r="T40" s="250"/>
      <c r="U40" s="250"/>
      <c r="V40" s="250"/>
      <c r="W40" s="250"/>
    </row>
    <row r="41" spans="1:23" s="424" customFormat="1" hidden="1">
      <c r="A41" s="258"/>
      <c r="B41" s="276" t="s">
        <v>201</v>
      </c>
      <c r="C41" s="277">
        <v>4.45</v>
      </c>
      <c r="D41" s="277">
        <v>7.35</v>
      </c>
      <c r="E41" s="278">
        <v>42061</v>
      </c>
      <c r="F41" s="270">
        <v>8.1300000000000011E-2</v>
      </c>
      <c r="G41" s="279">
        <v>0</v>
      </c>
      <c r="H41" s="270">
        <v>8.1300000000000011E-2</v>
      </c>
      <c r="I41" s="275"/>
      <c r="J41" s="275"/>
      <c r="K41" s="275"/>
      <c r="L41" s="275"/>
      <c r="M41" s="275"/>
      <c r="N41" s="258"/>
      <c r="O41" s="258"/>
      <c r="P41" s="258"/>
      <c r="Q41" s="258"/>
      <c r="R41" s="258"/>
      <c r="S41" s="258"/>
      <c r="T41" s="258"/>
      <c r="U41" s="258"/>
      <c r="V41" s="258"/>
      <c r="W41" s="258"/>
    </row>
    <row r="42" spans="1:23" hidden="1">
      <c r="A42" s="250"/>
      <c r="B42" s="265" t="s">
        <v>19</v>
      </c>
      <c r="C42" s="266">
        <v>5.08</v>
      </c>
      <c r="D42" s="266">
        <v>8.2100000000000009</v>
      </c>
      <c r="E42" s="267">
        <v>41991</v>
      </c>
      <c r="F42" s="268">
        <v>8.1799999999999998E-2</v>
      </c>
      <c r="G42" s="265"/>
      <c r="H42" s="265"/>
      <c r="I42" s="264"/>
      <c r="J42" s="264"/>
      <c r="K42" s="264"/>
      <c r="L42" s="264"/>
      <c r="M42" s="264"/>
      <c r="N42" s="250"/>
      <c r="O42" s="250"/>
      <c r="P42" s="250"/>
      <c r="Q42" s="250"/>
      <c r="R42" s="250"/>
      <c r="S42" s="250"/>
      <c r="T42" s="250"/>
      <c r="U42" s="250"/>
      <c r="V42" s="250"/>
      <c r="W42" s="250"/>
    </row>
    <row r="43" spans="1:23" hidden="1">
      <c r="A43" s="250"/>
      <c r="B43" s="265" t="s">
        <v>142</v>
      </c>
      <c r="C43" s="266" t="s">
        <v>198</v>
      </c>
      <c r="D43" s="266" t="s">
        <v>198</v>
      </c>
      <c r="E43" s="267">
        <v>43067</v>
      </c>
      <c r="F43" s="268">
        <v>8.3000000000000004E-2</v>
      </c>
      <c r="G43" s="265"/>
      <c r="H43" s="265"/>
      <c r="I43" s="264"/>
      <c r="J43" s="264"/>
      <c r="K43" s="264"/>
      <c r="L43" s="264"/>
      <c r="M43" s="264"/>
      <c r="N43" s="250"/>
      <c r="O43" s="250"/>
      <c r="P43" s="250"/>
      <c r="Q43" s="250"/>
      <c r="R43" s="250"/>
      <c r="S43" s="250"/>
      <c r="T43" s="250"/>
      <c r="U43" s="250"/>
      <c r="V43" s="250"/>
      <c r="W43" s="250"/>
    </row>
    <row r="44" spans="1:23" hidden="1">
      <c r="A44" s="250"/>
      <c r="B44" s="265" t="s">
        <v>137</v>
      </c>
      <c r="C44" s="266">
        <v>6.4</v>
      </c>
      <c r="D44" s="266">
        <v>5.64</v>
      </c>
      <c r="E44" s="267">
        <v>42313</v>
      </c>
      <c r="F44" s="268">
        <v>8.77E-2</v>
      </c>
      <c r="G44" s="269">
        <v>1.2000000000000011E-2</v>
      </c>
      <c r="H44" s="268">
        <v>9.9700000000000011E-2</v>
      </c>
      <c r="I44" s="264"/>
      <c r="J44" s="264"/>
      <c r="K44" s="264"/>
      <c r="L44" s="264"/>
      <c r="M44" s="264"/>
      <c r="N44" s="250"/>
      <c r="O44" s="250"/>
      <c r="P44" s="250"/>
      <c r="Q44" s="250"/>
      <c r="R44" s="250"/>
      <c r="S44" s="250"/>
      <c r="T44" s="250"/>
      <c r="U44" s="250"/>
      <c r="V44" s="250"/>
      <c r="W44" s="250"/>
    </row>
    <row r="45" spans="1:23" hidden="1">
      <c r="A45" s="250"/>
      <c r="B45" s="265" t="s">
        <v>20</v>
      </c>
      <c r="C45" s="266">
        <v>4.38</v>
      </c>
      <c r="D45" s="266">
        <v>8.77</v>
      </c>
      <c r="E45" s="267">
        <v>42736</v>
      </c>
      <c r="F45" s="268">
        <v>9.0650999999999995E-2</v>
      </c>
      <c r="G45" s="269">
        <v>0</v>
      </c>
      <c r="H45" s="268">
        <v>9.0650999999999995E-2</v>
      </c>
      <c r="I45" s="264"/>
      <c r="J45" s="264"/>
      <c r="K45" s="264"/>
      <c r="L45" s="264"/>
      <c r="M45" s="264"/>
      <c r="N45" s="250"/>
      <c r="O45" s="250"/>
      <c r="P45" s="250"/>
      <c r="Q45" s="250"/>
      <c r="R45" s="250"/>
      <c r="S45" s="250"/>
      <c r="T45" s="250"/>
      <c r="U45" s="250"/>
      <c r="V45" s="250"/>
      <c r="W45" s="250"/>
    </row>
    <row r="46" spans="1:23" hidden="1">
      <c r="A46" s="250"/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50"/>
      <c r="O46" s="250"/>
      <c r="P46" s="250"/>
      <c r="Q46" s="250"/>
      <c r="R46" s="250"/>
      <c r="S46" s="250"/>
      <c r="T46" s="250"/>
      <c r="U46" s="250"/>
      <c r="V46" s="250"/>
      <c r="W46" s="250"/>
    </row>
    <row r="47" spans="1:23" hidden="1">
      <c r="A47" s="250"/>
      <c r="B47" s="265" t="s">
        <v>133</v>
      </c>
      <c r="C47" s="265" t="s">
        <v>114</v>
      </c>
      <c r="D47" s="265" t="s">
        <v>114</v>
      </c>
      <c r="E47" s="266" t="s">
        <v>134</v>
      </c>
      <c r="F47" s="267"/>
      <c r="G47" s="264"/>
      <c r="H47" s="264"/>
      <c r="I47" s="264"/>
      <c r="J47" s="264"/>
      <c r="K47" s="264"/>
      <c r="L47" s="264"/>
      <c r="M47" s="264"/>
      <c r="N47" s="250"/>
      <c r="O47" s="250"/>
      <c r="P47" s="250"/>
      <c r="Q47" s="250"/>
      <c r="R47" s="250"/>
      <c r="S47" s="250"/>
      <c r="T47" s="250"/>
      <c r="U47" s="250"/>
      <c r="V47" s="250"/>
      <c r="W47" s="250"/>
    </row>
    <row r="48" spans="1:23" hidden="1">
      <c r="A48" s="250"/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50"/>
      <c r="O48" s="250"/>
      <c r="P48" s="250"/>
      <c r="Q48" s="250"/>
      <c r="R48" s="250"/>
      <c r="S48" s="250"/>
      <c r="T48" s="250"/>
      <c r="U48" s="250"/>
      <c r="V48" s="250"/>
      <c r="W48" s="250"/>
    </row>
    <row r="49" spans="1:23" hidden="1">
      <c r="A49" s="250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0"/>
      <c r="O49" s="250"/>
      <c r="P49" s="250"/>
      <c r="Q49" s="250"/>
      <c r="R49" s="250"/>
      <c r="S49" s="250"/>
      <c r="T49" s="250"/>
      <c r="U49" s="250"/>
      <c r="V49" s="250"/>
      <c r="W49" s="250"/>
    </row>
    <row r="50" spans="1:23" hidden="1">
      <c r="A50" s="250"/>
      <c r="B50" s="261" t="s">
        <v>49</v>
      </c>
      <c r="C50" s="262" t="s">
        <v>59</v>
      </c>
      <c r="D50" s="262" t="s">
        <v>195</v>
      </c>
      <c r="E50" s="263" t="s">
        <v>196</v>
      </c>
      <c r="F50" s="263" t="s">
        <v>48</v>
      </c>
      <c r="G50" s="264"/>
      <c r="H50" s="264"/>
      <c r="I50" s="264"/>
      <c r="J50" s="264"/>
      <c r="K50" s="264"/>
      <c r="L50" s="264"/>
      <c r="M50" s="264"/>
      <c r="N50" s="250"/>
      <c r="O50" s="250"/>
      <c r="P50" s="250"/>
      <c r="Q50" s="250"/>
      <c r="R50" s="250"/>
      <c r="S50" s="250"/>
      <c r="T50" s="250"/>
      <c r="U50" s="250"/>
      <c r="V50" s="250"/>
      <c r="W50" s="250"/>
    </row>
    <row r="51" spans="1:23" hidden="1">
      <c r="A51" s="250"/>
      <c r="B51" s="265" t="s">
        <v>47</v>
      </c>
      <c r="C51" s="266" t="s">
        <v>198</v>
      </c>
      <c r="D51" s="266" t="s">
        <v>198</v>
      </c>
      <c r="E51" s="268">
        <v>7.9100000000000004E-2</v>
      </c>
      <c r="F51" s="267">
        <v>42940</v>
      </c>
      <c r="G51" s="264"/>
      <c r="H51" s="264"/>
      <c r="I51" s="264"/>
      <c r="J51" s="264"/>
      <c r="K51" s="264"/>
      <c r="L51" s="264"/>
      <c r="M51" s="264"/>
      <c r="N51" s="250"/>
      <c r="O51" s="250"/>
      <c r="P51" s="250"/>
      <c r="Q51" s="250"/>
      <c r="R51" s="250"/>
      <c r="S51" s="250"/>
      <c r="T51" s="250"/>
      <c r="U51" s="250"/>
      <c r="V51" s="250"/>
      <c r="W51" s="250"/>
    </row>
    <row r="52" spans="1:23" hidden="1">
      <c r="A52" s="250"/>
      <c r="B52" s="265" t="s">
        <v>117</v>
      </c>
      <c r="C52" s="266">
        <v>4.45</v>
      </c>
      <c r="D52" s="266">
        <v>7.35</v>
      </c>
      <c r="E52" s="268">
        <v>8.1300000000000011E-2</v>
      </c>
      <c r="F52" s="267">
        <v>42061</v>
      </c>
      <c r="G52" s="264"/>
      <c r="H52" s="264"/>
      <c r="I52" s="264"/>
      <c r="J52" s="264"/>
      <c r="K52" s="264"/>
      <c r="L52" s="264"/>
      <c r="M52" s="264"/>
      <c r="N52" s="250"/>
      <c r="O52" s="250"/>
      <c r="P52" s="250"/>
      <c r="Q52" s="250"/>
      <c r="R52" s="250"/>
      <c r="S52" s="250"/>
      <c r="T52" s="250"/>
      <c r="U52" s="250"/>
      <c r="V52" s="250"/>
      <c r="W52" s="250"/>
    </row>
    <row r="53" spans="1:23" hidden="1">
      <c r="A53" s="250"/>
      <c r="B53" s="265" t="s">
        <v>119</v>
      </c>
      <c r="C53" s="266">
        <v>3.47</v>
      </c>
      <c r="D53" s="266">
        <v>4.41</v>
      </c>
      <c r="E53" s="268">
        <v>7.0400000000000004E-2</v>
      </c>
      <c r="F53" s="267">
        <v>43073</v>
      </c>
      <c r="G53" s="264"/>
      <c r="H53" s="264"/>
      <c r="I53" s="264"/>
      <c r="J53" s="264"/>
      <c r="K53" s="264"/>
      <c r="L53" s="264"/>
      <c r="M53" s="264"/>
      <c r="N53" s="250"/>
      <c r="O53" s="250"/>
      <c r="P53" s="250"/>
      <c r="Q53" s="250"/>
      <c r="R53" s="250"/>
      <c r="S53" s="250"/>
      <c r="T53" s="250"/>
      <c r="U53" s="250"/>
      <c r="V53" s="250"/>
      <c r="W53" s="250"/>
    </row>
    <row r="54" spans="1:23" hidden="1">
      <c r="A54" s="250"/>
      <c r="B54" s="265" t="s">
        <v>121</v>
      </c>
      <c r="C54" s="266">
        <v>2.4</v>
      </c>
      <c r="D54" s="266">
        <v>8.24</v>
      </c>
      <c r="E54" s="268">
        <v>7.5999999999999998E-2</v>
      </c>
      <c r="F54" s="267">
        <v>43223</v>
      </c>
      <c r="G54" s="264"/>
      <c r="H54" s="264"/>
      <c r="I54" s="264"/>
      <c r="J54" s="264"/>
      <c r="K54" s="264"/>
      <c r="L54" s="264"/>
      <c r="M54" s="264"/>
      <c r="N54" s="250"/>
      <c r="O54" s="250"/>
      <c r="P54" s="250"/>
      <c r="Q54" s="250"/>
      <c r="R54" s="250"/>
      <c r="S54" s="250"/>
      <c r="T54" s="250"/>
      <c r="U54" s="250"/>
      <c r="V54" s="250"/>
      <c r="W54" s="250"/>
    </row>
    <row r="55" spans="1:23" hidden="1">
      <c r="A55" s="250"/>
      <c r="B55" s="265" t="s">
        <v>50</v>
      </c>
      <c r="C55" s="266">
        <v>3.29</v>
      </c>
      <c r="D55" s="266">
        <v>6.75</v>
      </c>
      <c r="E55" s="268">
        <v>5.6600000000000004E-2</v>
      </c>
      <c r="F55" s="267"/>
      <c r="G55" s="264"/>
      <c r="H55" s="264"/>
      <c r="I55" s="264"/>
      <c r="J55" s="264"/>
      <c r="K55" s="264"/>
      <c r="L55" s="264"/>
      <c r="M55" s="264"/>
      <c r="N55" s="250"/>
      <c r="O55" s="250"/>
      <c r="P55" s="250"/>
      <c r="Q55" s="250"/>
      <c r="R55" s="250"/>
      <c r="S55" s="250"/>
      <c r="T55" s="250"/>
      <c r="U55" s="250"/>
      <c r="V55" s="250"/>
      <c r="W55" s="250"/>
    </row>
    <row r="56" spans="1:23" hidden="1">
      <c r="A56" s="250"/>
      <c r="B56" s="265" t="s">
        <v>137</v>
      </c>
      <c r="C56" s="266">
        <v>6.4</v>
      </c>
      <c r="D56" s="266">
        <v>5.64</v>
      </c>
      <c r="E56" s="268">
        <v>9.9700000000000011E-2</v>
      </c>
      <c r="F56" s="267">
        <v>42313</v>
      </c>
      <c r="G56" s="264"/>
      <c r="H56" s="264"/>
      <c r="I56" s="264"/>
      <c r="J56" s="264"/>
      <c r="K56" s="264"/>
      <c r="L56" s="264"/>
      <c r="M56" s="264"/>
      <c r="N56" s="250"/>
      <c r="O56" s="250"/>
      <c r="P56" s="250"/>
      <c r="Q56" s="250"/>
      <c r="R56" s="250"/>
      <c r="S56" s="250"/>
      <c r="T56" s="250"/>
      <c r="U56" s="250"/>
      <c r="V56" s="250"/>
      <c r="W56" s="250"/>
    </row>
    <row r="57" spans="1:23" hidden="1">
      <c r="A57" s="250"/>
      <c r="B57" s="265" t="s">
        <v>139</v>
      </c>
      <c r="C57" s="266">
        <v>3.44</v>
      </c>
      <c r="D57" s="266">
        <v>6.75</v>
      </c>
      <c r="E57" s="268">
        <v>7.7100000000000002E-2</v>
      </c>
      <c r="F57" s="267">
        <v>42535</v>
      </c>
      <c r="G57" s="264"/>
      <c r="H57" s="264"/>
      <c r="I57" s="264"/>
      <c r="J57" s="264"/>
      <c r="K57" s="264"/>
      <c r="L57" s="264"/>
      <c r="M57" s="264"/>
      <c r="N57" s="250"/>
      <c r="O57" s="250"/>
      <c r="P57" s="250"/>
      <c r="Q57" s="250"/>
      <c r="R57" s="250"/>
      <c r="S57" s="250"/>
      <c r="T57" s="250"/>
      <c r="U57" s="250"/>
      <c r="V57" s="250"/>
      <c r="W57" s="250"/>
    </row>
    <row r="58" spans="1:23" hidden="1">
      <c r="A58" s="250"/>
      <c r="B58" s="265" t="s">
        <v>51</v>
      </c>
      <c r="C58" s="266">
        <v>5.3</v>
      </c>
      <c r="D58" s="266">
        <v>4.96</v>
      </c>
      <c r="E58" s="268">
        <v>8.6699999999999999E-2</v>
      </c>
      <c r="F58" s="267"/>
      <c r="G58" s="264"/>
      <c r="H58" s="264"/>
      <c r="I58" s="264"/>
      <c r="J58" s="264"/>
      <c r="K58" s="264"/>
      <c r="L58" s="264"/>
      <c r="M58" s="264"/>
      <c r="N58" s="250"/>
      <c r="O58" s="250"/>
      <c r="P58" s="250"/>
      <c r="Q58" s="250"/>
      <c r="R58" s="250"/>
      <c r="S58" s="250"/>
      <c r="T58" s="250"/>
      <c r="U58" s="250"/>
      <c r="V58" s="250"/>
      <c r="W58" s="250"/>
    </row>
    <row r="59" spans="1:23" hidden="1">
      <c r="A59" s="250"/>
      <c r="B59" s="265" t="s">
        <v>20</v>
      </c>
      <c r="C59" s="266">
        <v>4.38</v>
      </c>
      <c r="D59" s="266">
        <v>8.77</v>
      </c>
      <c r="E59" s="268">
        <v>9.0650999999999995E-2</v>
      </c>
      <c r="F59" s="267">
        <v>42736</v>
      </c>
      <c r="G59" s="264"/>
      <c r="H59" s="264"/>
      <c r="I59" s="264"/>
      <c r="J59" s="264"/>
      <c r="K59" s="264"/>
      <c r="L59" s="264"/>
      <c r="M59" s="264"/>
      <c r="N59" s="250"/>
      <c r="O59" s="250"/>
      <c r="P59" s="250"/>
      <c r="Q59" s="250"/>
      <c r="R59" s="250"/>
      <c r="S59" s="250"/>
      <c r="T59" s="250"/>
      <c r="U59" s="250"/>
      <c r="V59" s="250"/>
      <c r="W59" s="250"/>
    </row>
    <row r="60" spans="1:23" hidden="1">
      <c r="A60" s="250"/>
      <c r="B60" s="558" t="s">
        <v>308</v>
      </c>
      <c r="C60" s="280">
        <v>4</v>
      </c>
      <c r="D60" s="280">
        <v>9.1999999999999993</v>
      </c>
      <c r="E60" s="280" t="e">
        <f>E27-E28</f>
        <v>#VALUE!</v>
      </c>
      <c r="F60" s="280" t="e">
        <f t="shared" ref="F60:K60" si="0">F27-F28</f>
        <v>#VALUE!</v>
      </c>
      <c r="G60" s="280" t="e">
        <f t="shared" si="0"/>
        <v>#VALUE!</v>
      </c>
      <c r="H60" s="280" t="e">
        <f t="shared" si="0"/>
        <v>#VALUE!</v>
      </c>
      <c r="I60" s="280">
        <f t="shared" si="0"/>
        <v>0</v>
      </c>
      <c r="J60" s="280">
        <f t="shared" si="0"/>
        <v>0</v>
      </c>
      <c r="K60" s="280">
        <f t="shared" si="0"/>
        <v>0</v>
      </c>
      <c r="L60" s="264"/>
      <c r="M60" s="264"/>
      <c r="N60" s="250"/>
      <c r="O60" s="250"/>
      <c r="P60" s="250"/>
      <c r="Q60" s="250"/>
      <c r="R60" s="250"/>
      <c r="S60" s="250"/>
      <c r="T60" s="250"/>
      <c r="U60" s="250"/>
      <c r="V60" s="250"/>
      <c r="W60" s="250"/>
    </row>
    <row r="61" spans="1:23" hidden="1">
      <c r="A61" s="250"/>
      <c r="B61" s="264"/>
      <c r="C61" s="280"/>
      <c r="D61" s="280"/>
      <c r="E61" s="280"/>
      <c r="F61" s="281"/>
      <c r="G61" s="264"/>
      <c r="H61" s="264"/>
      <c r="I61" s="264"/>
      <c r="J61" s="264"/>
      <c r="K61" s="264"/>
      <c r="L61" s="264"/>
      <c r="M61" s="264"/>
      <c r="N61" s="250"/>
      <c r="O61" s="250"/>
      <c r="P61" s="250"/>
      <c r="Q61" s="250"/>
      <c r="R61" s="250"/>
      <c r="S61" s="250"/>
      <c r="T61" s="250"/>
      <c r="U61" s="250"/>
      <c r="V61" s="250"/>
      <c r="W61" s="250"/>
    </row>
    <row r="62" spans="1:23" hidden="1">
      <c r="A62" s="250"/>
      <c r="B62" s="265" t="s">
        <v>303</v>
      </c>
      <c r="C62" s="265" t="s">
        <v>161</v>
      </c>
      <c r="D62" s="265" t="s">
        <v>161</v>
      </c>
      <c r="E62" s="266" t="s">
        <v>162</v>
      </c>
      <c r="F62" s="267"/>
      <c r="G62" s="282"/>
      <c r="H62" s="264"/>
      <c r="I62" s="264"/>
      <c r="J62" s="264"/>
      <c r="K62" s="264"/>
      <c r="L62" s="264"/>
      <c r="M62" s="264"/>
      <c r="N62" s="250"/>
      <c r="O62" s="250"/>
      <c r="P62" s="250"/>
      <c r="Q62" s="250"/>
      <c r="R62" s="250"/>
      <c r="S62" s="250"/>
      <c r="T62" s="250"/>
      <c r="U62" s="250"/>
      <c r="V62" s="250"/>
      <c r="W62" s="250"/>
    </row>
    <row r="63" spans="1:23" hidden="1">
      <c r="A63" s="250"/>
      <c r="B63" s="265" t="s">
        <v>133</v>
      </c>
      <c r="C63" s="265" t="s">
        <v>114</v>
      </c>
      <c r="D63" s="265" t="s">
        <v>114</v>
      </c>
      <c r="E63" s="266" t="s">
        <v>134</v>
      </c>
      <c r="F63" s="267"/>
      <c r="G63" s="282"/>
      <c r="H63" s="264"/>
      <c r="I63" s="264"/>
      <c r="J63" s="264"/>
      <c r="K63" s="264"/>
      <c r="L63" s="264"/>
      <c r="M63" s="264"/>
      <c r="N63" s="250"/>
      <c r="O63" s="250"/>
      <c r="P63" s="250"/>
      <c r="Q63" s="250"/>
      <c r="R63" s="250"/>
      <c r="S63" s="250"/>
      <c r="T63" s="250"/>
      <c r="U63" s="250"/>
      <c r="V63" s="250"/>
      <c r="W63" s="250"/>
    </row>
    <row r="64" spans="1:23" hidden="1">
      <c r="A64" s="250"/>
      <c r="B64" s="265" t="s">
        <v>19</v>
      </c>
      <c r="C64" s="265" t="s">
        <v>161</v>
      </c>
      <c r="D64" s="265" t="s">
        <v>161</v>
      </c>
      <c r="E64" s="266" t="s">
        <v>162</v>
      </c>
      <c r="F64" s="267"/>
      <c r="G64" s="282"/>
      <c r="H64" s="264"/>
      <c r="I64" s="264"/>
      <c r="J64" s="264"/>
      <c r="K64" s="264"/>
      <c r="L64" s="264"/>
      <c r="M64" s="264"/>
      <c r="N64" s="250"/>
      <c r="O64" s="250"/>
      <c r="P64" s="250"/>
      <c r="Q64" s="250"/>
      <c r="R64" s="250"/>
      <c r="S64" s="250"/>
      <c r="T64" s="250"/>
      <c r="U64" s="250"/>
      <c r="V64" s="250"/>
      <c r="W64" s="250"/>
    </row>
    <row r="65" spans="1:23" hidden="1">
      <c r="A65" s="250"/>
      <c r="B65" s="265" t="s">
        <v>142</v>
      </c>
      <c r="C65" s="265" t="s">
        <v>161</v>
      </c>
      <c r="D65" s="265" t="s">
        <v>161</v>
      </c>
      <c r="E65" s="266" t="s">
        <v>162</v>
      </c>
      <c r="F65" s="267"/>
      <c r="G65" s="282"/>
      <c r="H65" s="264"/>
      <c r="I65" s="264"/>
      <c r="J65" s="264"/>
      <c r="K65" s="264"/>
      <c r="L65" s="264"/>
      <c r="M65" s="264"/>
      <c r="N65" s="250"/>
      <c r="O65" s="250"/>
      <c r="P65" s="250"/>
      <c r="Q65" s="250"/>
      <c r="R65" s="250"/>
      <c r="S65" s="250"/>
      <c r="T65" s="250"/>
      <c r="U65" s="250"/>
      <c r="V65" s="250"/>
      <c r="W65" s="250"/>
    </row>
    <row r="66" spans="1:23" hidden="1">
      <c r="A66" s="250"/>
      <c r="B66" s="265" t="s">
        <v>147</v>
      </c>
      <c r="C66" s="265" t="s">
        <v>161</v>
      </c>
      <c r="D66" s="265" t="s">
        <v>161</v>
      </c>
      <c r="E66" s="266" t="s">
        <v>162</v>
      </c>
      <c r="F66" s="267"/>
      <c r="G66" s="282"/>
      <c r="H66" s="264"/>
      <c r="I66" s="264"/>
      <c r="J66" s="264"/>
      <c r="K66" s="264"/>
      <c r="L66" s="264"/>
      <c r="M66" s="264"/>
      <c r="N66" s="250"/>
      <c r="O66" s="250"/>
      <c r="P66" s="250"/>
      <c r="Q66" s="250"/>
      <c r="R66" s="250"/>
      <c r="S66" s="250"/>
      <c r="T66" s="250"/>
      <c r="U66" s="250"/>
      <c r="V66" s="250"/>
      <c r="W66" s="250"/>
    </row>
    <row r="67" spans="1:23" hidden="1">
      <c r="A67" s="250"/>
      <c r="B67" s="265" t="s">
        <v>149</v>
      </c>
      <c r="C67" s="265" t="s">
        <v>161</v>
      </c>
      <c r="D67" s="265" t="s">
        <v>161</v>
      </c>
      <c r="E67" s="266" t="s">
        <v>162</v>
      </c>
      <c r="F67" s="267"/>
      <c r="G67" s="282"/>
      <c r="H67" s="264"/>
      <c r="I67" s="264"/>
      <c r="J67" s="264"/>
      <c r="K67" s="264"/>
      <c r="L67" s="264"/>
      <c r="M67" s="264"/>
      <c r="N67" s="250"/>
      <c r="O67" s="250"/>
      <c r="P67" s="250"/>
      <c r="Q67" s="250"/>
      <c r="R67" s="250"/>
      <c r="S67" s="250"/>
      <c r="T67" s="250"/>
      <c r="U67" s="250"/>
      <c r="V67" s="250"/>
      <c r="W67" s="250"/>
    </row>
    <row r="68" spans="1:23" hidden="1">
      <c r="A68" s="250"/>
      <c r="B68" s="265" t="s">
        <v>149</v>
      </c>
      <c r="C68" s="265" t="s">
        <v>161</v>
      </c>
      <c r="D68" s="265" t="s">
        <v>161</v>
      </c>
      <c r="E68" s="266" t="s">
        <v>162</v>
      </c>
      <c r="F68" s="267"/>
      <c r="G68" s="282"/>
      <c r="H68" s="264"/>
      <c r="I68" s="264"/>
      <c r="J68" s="264"/>
      <c r="K68" s="264"/>
      <c r="L68" s="264"/>
      <c r="M68" s="264"/>
      <c r="N68" s="250"/>
      <c r="O68" s="250"/>
      <c r="P68" s="250"/>
      <c r="Q68" s="250"/>
      <c r="R68" s="250"/>
      <c r="S68" s="250"/>
      <c r="T68" s="250"/>
      <c r="U68" s="250"/>
      <c r="V68" s="250"/>
      <c r="W68" s="250"/>
    </row>
    <row r="69" spans="1:23">
      <c r="A69" s="250"/>
      <c r="B69" s="265" t="s">
        <v>309</v>
      </c>
      <c r="C69" s="542">
        <v>0.28999999999999998</v>
      </c>
      <c r="D69" s="265" t="s">
        <v>161</v>
      </c>
      <c r="E69" s="545">
        <f>$C$69*E9</f>
        <v>0</v>
      </c>
      <c r="F69" s="548">
        <f t="shared" ref="F69:K69" si="1">$C$69*F9</f>
        <v>0</v>
      </c>
      <c r="G69" s="548">
        <f t="shared" si="1"/>
        <v>0</v>
      </c>
      <c r="H69" s="545" t="e">
        <f t="shared" si="1"/>
        <v>#VALUE!</v>
      </c>
      <c r="I69" s="550">
        <f t="shared" si="1"/>
        <v>0</v>
      </c>
      <c r="J69" s="545">
        <f t="shared" si="1"/>
        <v>0</v>
      </c>
      <c r="K69" s="550">
        <f t="shared" si="1"/>
        <v>0</v>
      </c>
      <c r="L69" s="264"/>
      <c r="M69" s="264"/>
      <c r="N69" s="250"/>
      <c r="O69" s="250"/>
      <c r="P69" s="250"/>
      <c r="Q69" s="250"/>
      <c r="R69" s="250"/>
      <c r="S69" s="250"/>
      <c r="T69" s="250"/>
      <c r="U69" s="250"/>
      <c r="V69" s="250"/>
      <c r="W69" s="250"/>
    </row>
    <row r="70" spans="1:23">
      <c r="A70" s="250"/>
      <c r="B70" s="265"/>
      <c r="C70" s="542"/>
      <c r="D70" s="265"/>
      <c r="E70" s="545" t="e">
        <f>$C$69*E63</f>
        <v>#VALUE!</v>
      </c>
      <c r="F70" s="548">
        <f>$C$69*F63</f>
        <v>0</v>
      </c>
      <c r="G70" s="548">
        <f t="shared" ref="G70:L70" si="2">$C$69*G63</f>
        <v>0</v>
      </c>
      <c r="H70" s="545">
        <f t="shared" si="2"/>
        <v>0</v>
      </c>
      <c r="I70" s="550">
        <f t="shared" si="2"/>
        <v>0</v>
      </c>
      <c r="J70" s="545">
        <f t="shared" si="2"/>
        <v>0</v>
      </c>
      <c r="K70" s="550">
        <f t="shared" si="2"/>
        <v>0</v>
      </c>
      <c r="L70" s="545">
        <f t="shared" si="2"/>
        <v>0</v>
      </c>
      <c r="M70" s="264"/>
      <c r="N70" s="250"/>
      <c r="O70" s="250"/>
      <c r="P70" s="250"/>
      <c r="Q70" s="250"/>
      <c r="R70" s="250"/>
      <c r="S70" s="250"/>
      <c r="T70" s="250"/>
      <c r="U70" s="250"/>
      <c r="V70" s="250"/>
      <c r="W70" s="250"/>
    </row>
    <row r="71" spans="1:23">
      <c r="A71" s="250"/>
      <c r="B71" s="265"/>
      <c r="C71" s="542"/>
      <c r="D71" s="265"/>
      <c r="E71" s="545"/>
      <c r="F71" s="548"/>
      <c r="G71" s="548"/>
      <c r="H71" s="552"/>
      <c r="I71" s="553"/>
      <c r="J71" s="552"/>
      <c r="K71" s="553"/>
      <c r="L71" s="264"/>
      <c r="M71" s="264"/>
      <c r="N71" s="250"/>
      <c r="O71" s="250"/>
      <c r="P71" s="250"/>
      <c r="Q71" s="250"/>
      <c r="R71" s="250"/>
      <c r="S71" s="250"/>
      <c r="T71" s="250"/>
      <c r="U71" s="250"/>
      <c r="V71" s="250"/>
      <c r="W71" s="250"/>
    </row>
    <row r="72" spans="1:23" s="425" customFormat="1">
      <c r="A72" s="405" t="s">
        <v>21</v>
      </c>
      <c r="B72" s="265" t="s">
        <v>149</v>
      </c>
      <c r="C72" s="265" t="s">
        <v>161</v>
      </c>
      <c r="D72" s="265" t="s">
        <v>161</v>
      </c>
      <c r="E72" s="266" t="s">
        <v>162</v>
      </c>
      <c r="F72" s="267"/>
      <c r="G72" s="282"/>
      <c r="H72" s="264"/>
      <c r="I72" s="264"/>
      <c r="J72" s="264"/>
      <c r="K72" s="264"/>
      <c r="L72" s="264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</row>
    <row r="73" spans="1:23" s="425" customFormat="1">
      <c r="A73" s="232"/>
      <c r="B73" s="265" t="s">
        <v>50</v>
      </c>
      <c r="C73" s="266">
        <v>3.29</v>
      </c>
      <c r="D73" s="266">
        <v>6.75</v>
      </c>
      <c r="E73" s="267">
        <v>42916</v>
      </c>
      <c r="F73" s="268">
        <v>5.6600000000000004E-2</v>
      </c>
      <c r="G73" s="412">
        <f>F73-4.17%</f>
        <v>1.4900000000000004E-2</v>
      </c>
      <c r="H73" s="413">
        <f>G73+5.26%</f>
        <v>6.7500000000000004E-2</v>
      </c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</row>
    <row r="74" spans="1:23">
      <c r="A74" s="250"/>
      <c r="B74" s="265" t="s">
        <v>147</v>
      </c>
      <c r="C74" s="266">
        <v>2.2400000000000002</v>
      </c>
      <c r="D74" s="266">
        <v>6.75</v>
      </c>
      <c r="E74" s="267">
        <v>43083</v>
      </c>
      <c r="F74" s="268">
        <v>6.480000000000001E-2</v>
      </c>
      <c r="G74" s="264"/>
      <c r="H74" s="264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</row>
    <row r="75" spans="1:23">
      <c r="A75" s="250"/>
      <c r="B75" s="265" t="s">
        <v>51</v>
      </c>
      <c r="C75" s="266">
        <v>4</v>
      </c>
      <c r="D75" s="266">
        <v>5.7</v>
      </c>
      <c r="E75" s="267">
        <v>41348</v>
      </c>
      <c r="F75" s="268">
        <v>6.7000000000000004E-2</v>
      </c>
      <c r="G75" s="264"/>
      <c r="H75" s="264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</row>
    <row r="76" spans="1:23">
      <c r="A76" s="250"/>
      <c r="B76" s="265" t="s">
        <v>121</v>
      </c>
      <c r="C76" s="266">
        <v>2.4</v>
      </c>
      <c r="D76" s="266">
        <v>6.88</v>
      </c>
      <c r="E76" s="267">
        <v>43223</v>
      </c>
      <c r="F76" s="268">
        <v>7.0000000000000007E-2</v>
      </c>
      <c r="G76" s="264"/>
      <c r="H76" s="264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250"/>
      <c r="U76" s="250"/>
      <c r="V76" s="250"/>
      <c r="W76" s="250"/>
    </row>
    <row r="77" spans="1:23">
      <c r="A77" s="250"/>
      <c r="B77" s="265" t="s">
        <v>139</v>
      </c>
      <c r="C77" s="266">
        <v>3.44</v>
      </c>
      <c r="D77" s="266">
        <v>6.75</v>
      </c>
      <c r="E77" s="267">
        <v>42535</v>
      </c>
      <c r="F77" s="268">
        <v>7.0999999999999994E-2</v>
      </c>
      <c r="G77" s="264"/>
      <c r="H77" s="264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</row>
    <row r="78" spans="1:23">
      <c r="A78" s="250"/>
      <c r="B78" s="265" t="s">
        <v>119</v>
      </c>
      <c r="C78" s="266">
        <v>3.47</v>
      </c>
      <c r="D78" s="266">
        <v>6.69</v>
      </c>
      <c r="E78" s="267">
        <v>43073</v>
      </c>
      <c r="F78" s="268">
        <v>7.1500000000000008E-2</v>
      </c>
      <c r="G78" s="264"/>
      <c r="H78" s="264"/>
      <c r="I78" s="250"/>
      <c r="J78" s="250"/>
      <c r="K78" s="250"/>
      <c r="L78" s="250"/>
      <c r="M78" s="250"/>
      <c r="N78" s="250"/>
      <c r="O78" s="250"/>
      <c r="P78" s="250"/>
      <c r="Q78" s="250"/>
      <c r="R78" s="250"/>
      <c r="S78" s="250"/>
      <c r="T78" s="250"/>
      <c r="U78" s="250"/>
      <c r="V78" s="250"/>
      <c r="W78" s="250"/>
    </row>
    <row r="79" spans="1:23">
      <c r="A79" s="250"/>
      <c r="B79" s="265" t="s">
        <v>149</v>
      </c>
      <c r="C79" s="266">
        <v>4.16</v>
      </c>
      <c r="D79" s="266">
        <v>6.8</v>
      </c>
      <c r="E79" s="267">
        <v>42627</v>
      </c>
      <c r="F79" s="268">
        <v>7.2999999999999995E-2</v>
      </c>
      <c r="G79" s="264"/>
      <c r="H79" s="264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</row>
    <row r="80" spans="1:23">
      <c r="A80" s="250"/>
      <c r="B80" s="265" t="s">
        <v>18</v>
      </c>
      <c r="C80" s="266">
        <v>4.9000000000000004</v>
      </c>
      <c r="D80" s="266">
        <v>6.2</v>
      </c>
      <c r="E80" s="267">
        <v>42920</v>
      </c>
      <c r="F80" s="268">
        <v>7.5999999999999998E-2</v>
      </c>
      <c r="G80" s="264"/>
      <c r="H80" s="264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</row>
    <row r="81" spans="1:23">
      <c r="A81" s="250"/>
      <c r="B81" s="265" t="s">
        <v>20</v>
      </c>
      <c r="C81" s="266">
        <v>4.32</v>
      </c>
      <c r="D81" s="266">
        <v>7</v>
      </c>
      <c r="E81" s="267">
        <v>43272</v>
      </c>
      <c r="F81" s="268">
        <v>7.6299999999999993E-2</v>
      </c>
      <c r="G81" s="264"/>
      <c r="H81" s="264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</row>
    <row r="82" spans="1:23">
      <c r="A82" s="250"/>
      <c r="B82" s="271" t="s">
        <v>202</v>
      </c>
      <c r="C82" s="272"/>
      <c r="D82" s="272"/>
      <c r="E82" s="283">
        <f>$E$37</f>
        <v>43356</v>
      </c>
      <c r="F82" s="273">
        <f>'WACC BIPT 2019'!$K$31</f>
        <v>8.3529076675368547E-2</v>
      </c>
      <c r="G82" s="264"/>
      <c r="H82" s="264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</row>
    <row r="83" spans="1:23">
      <c r="A83" s="250"/>
      <c r="B83" s="265" t="s">
        <v>201</v>
      </c>
      <c r="C83" s="266">
        <v>4.45</v>
      </c>
      <c r="D83" s="266">
        <v>7.35</v>
      </c>
      <c r="E83" s="267">
        <v>42061</v>
      </c>
      <c r="F83" s="268">
        <v>8.1300000000000011E-2</v>
      </c>
      <c r="G83" s="264"/>
      <c r="H83" s="264"/>
      <c r="I83" s="250"/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</row>
    <row r="84" spans="1:23">
      <c r="A84" s="250"/>
      <c r="B84" s="265" t="s">
        <v>19</v>
      </c>
      <c r="C84" s="266">
        <v>5.08</v>
      </c>
      <c r="D84" s="266">
        <v>8.27</v>
      </c>
      <c r="E84" s="267">
        <v>41991</v>
      </c>
      <c r="F84" s="268">
        <v>8.6300000000000002E-2</v>
      </c>
      <c r="G84" s="264"/>
      <c r="H84" s="264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</row>
    <row r="85" spans="1:23">
      <c r="A85" s="250"/>
      <c r="B85" s="265" t="s">
        <v>142</v>
      </c>
      <c r="C85" s="266" t="s">
        <v>198</v>
      </c>
      <c r="D85" s="266" t="s">
        <v>198</v>
      </c>
      <c r="E85" s="267">
        <v>43066</v>
      </c>
      <c r="F85" s="268">
        <v>9.0999999999999998E-2</v>
      </c>
      <c r="G85" s="264"/>
      <c r="H85" s="264"/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</row>
    <row r="86" spans="1:23">
      <c r="A86" s="250"/>
      <c r="B86" s="265" t="s">
        <v>137</v>
      </c>
      <c r="C86" s="266">
        <v>7.93</v>
      </c>
      <c r="D86" s="266">
        <v>6.97</v>
      </c>
      <c r="E86" s="267">
        <v>42277</v>
      </c>
      <c r="F86" s="268">
        <v>0.10249999999999999</v>
      </c>
      <c r="G86" s="264"/>
      <c r="H86" s="264"/>
      <c r="I86" s="250"/>
      <c r="J86" s="250"/>
      <c r="K86" s="250"/>
      <c r="L86" s="250"/>
      <c r="M86" s="250"/>
      <c r="N86" s="250"/>
      <c r="O86" s="250"/>
      <c r="P86" s="250"/>
      <c r="Q86" s="250"/>
      <c r="R86" s="250"/>
      <c r="S86" s="250"/>
      <c r="T86" s="250"/>
      <c r="U86" s="250"/>
      <c r="V86" s="250"/>
      <c r="W86" s="250"/>
    </row>
    <row r="87" spans="1:23">
      <c r="A87" s="250"/>
      <c r="B87" s="265" t="s">
        <v>47</v>
      </c>
      <c r="C87" s="266" t="s">
        <v>198</v>
      </c>
      <c r="D87" s="266" t="s">
        <v>198</v>
      </c>
      <c r="E87" s="267">
        <v>41547</v>
      </c>
      <c r="F87" s="268">
        <v>0.1137</v>
      </c>
      <c r="G87" s="264"/>
      <c r="H87" s="264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</row>
    <row r="88" spans="1:23">
      <c r="A88" s="250"/>
      <c r="B88" s="265" t="s">
        <v>133</v>
      </c>
      <c r="C88" s="266" t="s">
        <v>198</v>
      </c>
      <c r="D88" s="266" t="s">
        <v>198</v>
      </c>
      <c r="E88" s="267">
        <v>41244</v>
      </c>
      <c r="F88" s="268">
        <v>0.1429</v>
      </c>
      <c r="G88" s="264"/>
      <c r="H88" s="264"/>
      <c r="I88" s="250"/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</row>
    <row r="89" spans="1:23">
      <c r="A89" s="250"/>
      <c r="B89" s="264"/>
      <c r="C89" s="264"/>
      <c r="D89" s="264"/>
      <c r="E89" s="264"/>
      <c r="F89" s="264"/>
      <c r="G89" s="264"/>
      <c r="H89" s="264"/>
      <c r="I89" s="250"/>
      <c r="J89" s="250"/>
      <c r="K89" s="250"/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</row>
    <row r="90" spans="1:23">
      <c r="A90" s="250"/>
      <c r="B90" s="265" t="s">
        <v>52</v>
      </c>
      <c r="C90" s="266" t="s">
        <v>191</v>
      </c>
      <c r="D90" s="266" t="s">
        <v>192</v>
      </c>
      <c r="E90" s="267">
        <v>43186</v>
      </c>
      <c r="F90" s="266" t="s">
        <v>244</v>
      </c>
      <c r="G90" s="264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0"/>
      <c r="S90" s="250"/>
      <c r="T90" s="250"/>
      <c r="U90" s="250"/>
      <c r="V90" s="250"/>
      <c r="W90" s="250"/>
    </row>
    <row r="91" spans="1:23">
      <c r="A91" s="250"/>
      <c r="B91" s="265" t="s">
        <v>152</v>
      </c>
      <c r="C91" s="265" t="s">
        <v>161</v>
      </c>
      <c r="D91" s="265" t="s">
        <v>161</v>
      </c>
      <c r="E91" s="266" t="s">
        <v>245</v>
      </c>
      <c r="F91" s="267"/>
      <c r="G91" s="264"/>
      <c r="H91" s="264"/>
      <c r="I91" s="280"/>
      <c r="J91" s="250"/>
      <c r="K91" s="250"/>
      <c r="L91" s="250"/>
      <c r="M91" s="264"/>
      <c r="N91" s="250"/>
      <c r="O91" s="250"/>
      <c r="P91" s="250"/>
      <c r="Q91" s="250"/>
      <c r="R91" s="250"/>
      <c r="S91" s="250"/>
      <c r="T91" s="250"/>
      <c r="U91" s="250"/>
      <c r="V91" s="250"/>
      <c r="W91" s="250"/>
    </row>
    <row r="92" spans="1:23">
      <c r="A92" s="250"/>
      <c r="B92" s="250"/>
      <c r="C92" s="250"/>
      <c r="D92" s="250"/>
      <c r="E92" s="250"/>
      <c r="F92" s="250"/>
      <c r="G92" s="250"/>
      <c r="H92" s="250"/>
      <c r="I92" s="280"/>
      <c r="J92" s="250"/>
      <c r="K92" s="250"/>
      <c r="L92" s="250"/>
      <c r="M92" s="264"/>
      <c r="N92" s="250"/>
      <c r="O92" s="250"/>
      <c r="P92" s="250"/>
      <c r="Q92" s="250"/>
      <c r="R92" s="250"/>
      <c r="S92" s="250"/>
      <c r="T92" s="250"/>
      <c r="U92" s="250"/>
      <c r="V92" s="250"/>
      <c r="W92" s="250"/>
    </row>
    <row r="93" spans="1:23">
      <c r="A93" s="250"/>
      <c r="B93" s="250"/>
      <c r="C93" s="250"/>
      <c r="D93" s="250"/>
      <c r="E93" s="250"/>
      <c r="F93" s="250"/>
      <c r="G93" s="250"/>
      <c r="H93" s="250"/>
      <c r="I93" s="280"/>
      <c r="J93" s="264"/>
      <c r="K93" s="264"/>
      <c r="L93" s="264"/>
      <c r="M93" s="264"/>
      <c r="N93" s="250"/>
      <c r="O93" s="250"/>
      <c r="P93" s="250"/>
      <c r="Q93" s="250"/>
      <c r="R93" s="250"/>
      <c r="S93" s="250"/>
      <c r="T93" s="250"/>
      <c r="U93" s="250"/>
      <c r="V93" s="250"/>
      <c r="W93" s="250"/>
    </row>
    <row r="94" spans="1:23">
      <c r="A94" s="405"/>
      <c r="B94" s="284" t="s">
        <v>247</v>
      </c>
      <c r="C94" s="251"/>
      <c r="D94" s="251"/>
      <c r="E94" s="251"/>
      <c r="F94" s="254"/>
      <c r="G94" s="250"/>
      <c r="H94" s="250"/>
      <c r="I94" s="250"/>
      <c r="J94" s="284" t="s">
        <v>248</v>
      </c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</row>
    <row r="95" spans="1:23">
      <c r="A95" s="250"/>
      <c r="B95" s="250"/>
      <c r="C95" s="251"/>
      <c r="D95" s="251"/>
      <c r="E95" s="251"/>
      <c r="F95" s="254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</row>
    <row r="96" spans="1:23">
      <c r="A96" s="250"/>
      <c r="B96" s="395" t="s">
        <v>246</v>
      </c>
      <c r="C96" s="395" t="s">
        <v>60</v>
      </c>
      <c r="D96" s="251"/>
      <c r="E96" s="251"/>
      <c r="F96" s="254"/>
      <c r="G96" s="250"/>
      <c r="H96" s="250"/>
      <c r="I96" s="250"/>
      <c r="J96" s="395" t="s">
        <v>15</v>
      </c>
      <c r="K96" s="395" t="s">
        <v>60</v>
      </c>
      <c r="L96" s="392" t="s">
        <v>48</v>
      </c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</row>
    <row r="97" spans="1:23">
      <c r="A97" s="250"/>
      <c r="B97" s="392" t="s">
        <v>211</v>
      </c>
      <c r="C97" s="398">
        <v>6.480000000000001E-2</v>
      </c>
      <c r="D97" s="251"/>
      <c r="E97" s="251"/>
      <c r="F97" s="254"/>
      <c r="G97" s="250"/>
      <c r="H97" s="250"/>
      <c r="I97" s="250"/>
      <c r="J97" s="252" t="s">
        <v>212</v>
      </c>
      <c r="K97" s="398">
        <v>6.7000000000000004E-2</v>
      </c>
      <c r="L97" s="406">
        <v>41348</v>
      </c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</row>
    <row r="98" spans="1:23">
      <c r="A98" s="250"/>
      <c r="B98" s="392" t="s">
        <v>212</v>
      </c>
      <c r="C98" s="398">
        <v>6.7000000000000004E-2</v>
      </c>
      <c r="D98" s="251"/>
      <c r="E98" s="251"/>
      <c r="F98" s="254"/>
      <c r="G98" s="250"/>
      <c r="H98" s="250"/>
      <c r="I98" s="250"/>
      <c r="J98" s="252" t="s">
        <v>223</v>
      </c>
      <c r="K98" s="398">
        <v>0.1137</v>
      </c>
      <c r="L98" s="406">
        <v>41547</v>
      </c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</row>
    <row r="99" spans="1:23">
      <c r="A99" s="250"/>
      <c r="B99" s="392" t="s">
        <v>213</v>
      </c>
      <c r="C99" s="398">
        <f>$H$73</f>
        <v>6.7500000000000004E-2</v>
      </c>
      <c r="D99" s="251"/>
      <c r="E99" s="251"/>
      <c r="F99" s="254"/>
      <c r="G99" s="250"/>
      <c r="H99" s="250"/>
      <c r="I99" s="250"/>
      <c r="J99" s="252" t="s">
        <v>220</v>
      </c>
      <c r="K99" s="398">
        <v>8.6300000000000002E-2</v>
      </c>
      <c r="L99" s="406">
        <v>41991</v>
      </c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</row>
    <row r="100" spans="1:23">
      <c r="A100" s="250"/>
      <c r="B100" s="392" t="s">
        <v>214</v>
      </c>
      <c r="C100" s="398">
        <v>7.0000000000000007E-2</v>
      </c>
      <c r="D100" s="251"/>
      <c r="E100" s="251"/>
      <c r="F100" s="254"/>
      <c r="G100" s="250"/>
      <c r="H100" s="250"/>
      <c r="I100" s="250"/>
      <c r="J100" s="252" t="s">
        <v>210</v>
      </c>
      <c r="K100" s="398">
        <v>8.1300000000000011E-2</v>
      </c>
      <c r="L100" s="406">
        <v>42061</v>
      </c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</row>
    <row r="101" spans="1:23">
      <c r="A101" s="250"/>
      <c r="B101" s="392" t="s">
        <v>215</v>
      </c>
      <c r="C101" s="398">
        <v>7.0999999999999994E-2</v>
      </c>
      <c r="D101" s="251"/>
      <c r="E101" s="251"/>
      <c r="F101" s="254"/>
      <c r="G101" s="250"/>
      <c r="H101" s="250"/>
      <c r="I101" s="250"/>
      <c r="J101" s="252" t="s">
        <v>222</v>
      </c>
      <c r="K101" s="398">
        <v>0.10249999999999999</v>
      </c>
      <c r="L101" s="406">
        <v>42277</v>
      </c>
      <c r="M101" s="250"/>
      <c r="N101" s="250"/>
      <c r="O101" s="250"/>
      <c r="P101" s="250"/>
      <c r="Q101" s="250"/>
      <c r="R101" s="250"/>
      <c r="S101" s="250"/>
      <c r="T101" s="250"/>
      <c r="U101" s="250"/>
      <c r="V101" s="250"/>
      <c r="W101" s="250"/>
    </row>
    <row r="102" spans="1:23">
      <c r="A102" s="250"/>
      <c r="B102" s="392" t="s">
        <v>216</v>
      </c>
      <c r="C102" s="398">
        <v>7.1500000000000008E-2</v>
      </c>
      <c r="D102" s="251"/>
      <c r="E102" s="251"/>
      <c r="F102" s="254"/>
      <c r="G102" s="250"/>
      <c r="H102" s="250"/>
      <c r="I102" s="250"/>
      <c r="J102" s="252" t="s">
        <v>215</v>
      </c>
      <c r="K102" s="398">
        <v>7.0999999999999994E-2</v>
      </c>
      <c r="L102" s="406">
        <v>42535</v>
      </c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</row>
    <row r="103" spans="1:23">
      <c r="A103" s="250"/>
      <c r="B103" s="392" t="s">
        <v>217</v>
      </c>
      <c r="C103" s="398">
        <v>7.2999999999999995E-2</v>
      </c>
      <c r="D103" s="251"/>
      <c r="E103" s="251"/>
      <c r="F103" s="254"/>
      <c r="G103" s="250"/>
      <c r="H103" s="250"/>
      <c r="I103" s="250"/>
      <c r="J103" s="252" t="s">
        <v>217</v>
      </c>
      <c r="K103" s="398">
        <v>7.2999999999999995E-2</v>
      </c>
      <c r="L103" s="406">
        <v>42627</v>
      </c>
      <c r="M103" s="250"/>
      <c r="N103" s="250"/>
      <c r="O103" s="250"/>
      <c r="P103" s="250"/>
      <c r="Q103" s="250"/>
      <c r="R103" s="250"/>
      <c r="S103" s="250"/>
      <c r="T103" s="250"/>
      <c r="U103" s="250"/>
      <c r="V103" s="250"/>
      <c r="W103" s="250"/>
    </row>
    <row r="104" spans="1:23">
      <c r="A104" s="250"/>
      <c r="B104" s="392" t="s">
        <v>218</v>
      </c>
      <c r="C104" s="398">
        <v>7.5999999999999998E-2</v>
      </c>
      <c r="D104" s="251"/>
      <c r="E104" s="251"/>
      <c r="F104" s="254"/>
      <c r="G104" s="250"/>
      <c r="H104" s="250"/>
      <c r="I104" s="250"/>
      <c r="J104" s="252" t="s">
        <v>213</v>
      </c>
      <c r="K104" s="398">
        <f>$H$73</f>
        <v>6.7500000000000004E-2</v>
      </c>
      <c r="L104" s="406">
        <v>42916</v>
      </c>
      <c r="M104" s="250"/>
      <c r="N104" s="250"/>
      <c r="O104" s="250"/>
      <c r="P104" s="250"/>
      <c r="Q104" s="250"/>
      <c r="R104" s="250"/>
      <c r="S104" s="250"/>
      <c r="T104" s="250"/>
      <c r="U104" s="250"/>
      <c r="V104" s="250"/>
      <c r="W104" s="250"/>
    </row>
    <row r="105" spans="1:23">
      <c r="A105" s="250"/>
      <c r="B105" s="392" t="s">
        <v>219</v>
      </c>
      <c r="C105" s="398">
        <v>7.6299999999999993E-2</v>
      </c>
      <c r="D105" s="251"/>
      <c r="E105" s="251"/>
      <c r="F105" s="254"/>
      <c r="G105" s="250"/>
      <c r="H105" s="250"/>
      <c r="I105" s="250"/>
      <c r="J105" s="252" t="s">
        <v>218</v>
      </c>
      <c r="K105" s="398">
        <v>7.5999999999999998E-2</v>
      </c>
      <c r="L105" s="406">
        <v>42920</v>
      </c>
      <c r="M105" s="250"/>
      <c r="N105" s="250"/>
      <c r="O105" s="250"/>
      <c r="P105" s="250"/>
      <c r="Q105" s="250"/>
      <c r="R105" s="250"/>
      <c r="S105" s="250"/>
      <c r="T105" s="250"/>
      <c r="U105" s="250"/>
      <c r="V105" s="250"/>
      <c r="W105" s="250"/>
    </row>
    <row r="106" spans="1:23">
      <c r="A106" s="250"/>
      <c r="B106" s="394" t="s">
        <v>209</v>
      </c>
      <c r="C106" s="403">
        <f>'WACC BIPT 2019'!$K$31</f>
        <v>8.3529076675368547E-2</v>
      </c>
      <c r="D106" s="251"/>
      <c r="E106" s="251"/>
      <c r="F106" s="254"/>
      <c r="G106" s="250"/>
      <c r="H106" s="250"/>
      <c r="I106" s="250"/>
      <c r="J106" s="252" t="s">
        <v>221</v>
      </c>
      <c r="K106" s="398">
        <v>9.0999999999999998E-2</v>
      </c>
      <c r="L106" s="406">
        <v>43066</v>
      </c>
      <c r="M106" s="250"/>
      <c r="N106" s="250"/>
      <c r="O106" s="250"/>
      <c r="P106" s="250"/>
      <c r="Q106" s="250"/>
      <c r="R106" s="250"/>
      <c r="S106" s="250"/>
      <c r="T106" s="250"/>
      <c r="U106" s="250"/>
      <c r="V106" s="250"/>
      <c r="W106" s="250"/>
    </row>
    <row r="107" spans="1:23">
      <c r="A107" s="250"/>
      <c r="B107" s="392" t="s">
        <v>210</v>
      </c>
      <c r="C107" s="398">
        <v>8.1300000000000011E-2</v>
      </c>
      <c r="D107" s="251"/>
      <c r="E107" s="251"/>
      <c r="F107" s="254"/>
      <c r="G107" s="250"/>
      <c r="H107" s="250"/>
      <c r="I107" s="250"/>
      <c r="J107" s="252" t="s">
        <v>216</v>
      </c>
      <c r="K107" s="398">
        <v>7.1500000000000008E-2</v>
      </c>
      <c r="L107" s="406">
        <v>43073</v>
      </c>
      <c r="M107" s="250"/>
      <c r="N107" s="250"/>
      <c r="O107" s="250"/>
      <c r="P107" s="250"/>
      <c r="Q107" s="250"/>
      <c r="R107" s="250"/>
      <c r="S107" s="250"/>
      <c r="T107" s="250"/>
      <c r="U107" s="250"/>
      <c r="V107" s="250"/>
      <c r="W107" s="250"/>
    </row>
    <row r="108" spans="1:23">
      <c r="A108" s="250"/>
      <c r="B108" s="392" t="s">
        <v>220</v>
      </c>
      <c r="C108" s="398">
        <v>8.6300000000000002E-2</v>
      </c>
      <c r="D108" s="251"/>
      <c r="E108" s="251"/>
      <c r="F108" s="254"/>
      <c r="G108" s="250"/>
      <c r="H108" s="250"/>
      <c r="I108" s="250"/>
      <c r="J108" s="252" t="s">
        <v>211</v>
      </c>
      <c r="K108" s="398">
        <v>6.480000000000001E-2</v>
      </c>
      <c r="L108" s="406">
        <v>43083</v>
      </c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</row>
    <row r="109" spans="1:23">
      <c r="A109" s="250"/>
      <c r="B109" s="392" t="s">
        <v>221</v>
      </c>
      <c r="C109" s="398">
        <v>9.0999999999999998E-2</v>
      </c>
      <c r="D109" s="251"/>
      <c r="E109" s="251"/>
      <c r="F109" s="254"/>
      <c r="G109" s="250"/>
      <c r="H109" s="250"/>
      <c r="I109" s="250"/>
      <c r="J109" s="252" t="s">
        <v>214</v>
      </c>
      <c r="K109" s="398">
        <v>7.0000000000000007E-2</v>
      </c>
      <c r="L109" s="406">
        <v>43223</v>
      </c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</row>
    <row r="110" spans="1:23">
      <c r="A110" s="250"/>
      <c r="B110" s="392" t="s">
        <v>222</v>
      </c>
      <c r="C110" s="398">
        <v>0.10249999999999999</v>
      </c>
      <c r="D110" s="251"/>
      <c r="E110" s="251"/>
      <c r="F110" s="254"/>
      <c r="G110" s="250"/>
      <c r="H110" s="250"/>
      <c r="I110" s="250"/>
      <c r="J110" s="252" t="s">
        <v>219</v>
      </c>
      <c r="K110" s="398">
        <v>7.6299999999999993E-2</v>
      </c>
      <c r="L110" s="406">
        <v>43272</v>
      </c>
      <c r="M110" s="250"/>
      <c r="N110" s="250"/>
      <c r="O110" s="250"/>
      <c r="P110" s="250"/>
      <c r="Q110" s="250"/>
      <c r="R110" s="250"/>
      <c r="S110" s="250"/>
      <c r="T110" s="250"/>
      <c r="U110" s="250"/>
      <c r="V110" s="250"/>
      <c r="W110" s="250"/>
    </row>
    <row r="111" spans="1:23">
      <c r="A111" s="250"/>
      <c r="B111" s="392" t="s">
        <v>223</v>
      </c>
      <c r="C111" s="398">
        <v>0.1137</v>
      </c>
      <c r="D111" s="251"/>
      <c r="E111" s="251"/>
      <c r="F111" s="254"/>
      <c r="G111" s="250"/>
      <c r="H111" s="250"/>
      <c r="I111" s="250"/>
      <c r="J111" s="260" t="s">
        <v>209</v>
      </c>
      <c r="K111" s="403">
        <f>'WACC BIPT 2019'!$K$31</f>
        <v>8.3529076675368547E-2</v>
      </c>
      <c r="L111" s="407">
        <f>$E$37</f>
        <v>43356</v>
      </c>
      <c r="M111" s="250"/>
      <c r="N111" s="250"/>
      <c r="O111" s="250"/>
      <c r="P111" s="250"/>
      <c r="Q111" s="250"/>
      <c r="R111" s="250"/>
      <c r="S111" s="250"/>
      <c r="T111" s="250"/>
      <c r="U111" s="250"/>
      <c r="V111" s="250"/>
      <c r="W111" s="250"/>
    </row>
    <row r="112" spans="1:23">
      <c r="A112" s="250"/>
      <c r="B112" s="408" t="s">
        <v>224</v>
      </c>
      <c r="C112" s="409">
        <v>0.1429</v>
      </c>
      <c r="D112" s="251"/>
      <c r="E112" s="251"/>
      <c r="F112" s="254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  <c r="R112" s="250"/>
      <c r="S112" s="250"/>
      <c r="T112" s="250"/>
      <c r="U112" s="250"/>
      <c r="V112" s="250"/>
      <c r="W112" s="250"/>
    </row>
    <row r="113" spans="1:23">
      <c r="A113" s="250"/>
      <c r="B113" s="250"/>
      <c r="C113" s="250"/>
      <c r="D113" s="250"/>
      <c r="E113" s="251"/>
      <c r="F113" s="254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  <c r="R113" s="250"/>
      <c r="S113" s="250"/>
      <c r="T113" s="250"/>
      <c r="U113" s="250"/>
      <c r="V113" s="250"/>
      <c r="W113" s="250"/>
    </row>
    <row r="114" spans="1:23">
      <c r="A114" s="250"/>
      <c r="B114" s="250"/>
      <c r="C114" s="250"/>
      <c r="D114" s="250"/>
      <c r="E114" s="251"/>
      <c r="F114" s="254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  <c r="R114" s="250"/>
      <c r="S114" s="250"/>
      <c r="T114" s="250"/>
      <c r="U114" s="250"/>
      <c r="V114" s="250"/>
      <c r="W114" s="250"/>
    </row>
    <row r="115" spans="1:23">
      <c r="A115" s="250"/>
      <c r="B115" s="250"/>
      <c r="C115" s="251"/>
      <c r="D115" s="251"/>
      <c r="E115" s="251"/>
      <c r="F115" s="254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  <c r="R115" s="250"/>
      <c r="S115" s="250"/>
      <c r="T115" s="250"/>
      <c r="U115" s="250"/>
      <c r="V115" s="250"/>
      <c r="W115" s="250"/>
    </row>
    <row r="116" spans="1:23">
      <c r="A116" s="250"/>
      <c r="B116" s="250"/>
      <c r="C116" s="250"/>
      <c r="D116" s="250"/>
      <c r="E116" s="250"/>
      <c r="F116" s="250"/>
      <c r="G116" s="250"/>
      <c r="H116" s="253"/>
      <c r="I116" s="250"/>
      <c r="J116" s="250"/>
      <c r="K116" s="250"/>
      <c r="L116" s="250"/>
      <c r="M116" s="250"/>
      <c r="N116" s="250"/>
      <c r="O116" s="250"/>
      <c r="P116" s="250"/>
      <c r="Q116" s="250"/>
      <c r="R116" s="250"/>
      <c r="S116" s="250"/>
      <c r="T116" s="250"/>
      <c r="U116" s="250"/>
      <c r="V116" s="250"/>
      <c r="W116" s="250"/>
    </row>
    <row r="117" spans="1:23">
      <c r="D117" s="414"/>
      <c r="E117" s="414"/>
      <c r="F117" s="414"/>
      <c r="G117" s="414"/>
      <c r="H117" s="420"/>
    </row>
    <row r="118" spans="1:23">
      <c r="A118" s="250"/>
      <c r="B118" s="250"/>
      <c r="C118" s="250"/>
      <c r="D118" s="250"/>
      <c r="E118" s="250"/>
      <c r="F118" s="250"/>
      <c r="G118" s="250"/>
      <c r="H118" s="290"/>
      <c r="I118" s="250"/>
      <c r="J118" s="250"/>
      <c r="K118" s="250"/>
      <c r="L118" s="250"/>
      <c r="M118" s="250"/>
      <c r="N118" s="250"/>
      <c r="O118" s="250"/>
      <c r="P118" s="250"/>
      <c r="Q118" s="250"/>
      <c r="R118" s="250"/>
      <c r="S118" s="250"/>
      <c r="T118" s="250"/>
      <c r="U118" s="250"/>
      <c r="V118" s="250"/>
      <c r="W118" s="250"/>
    </row>
    <row r="119" spans="1:23">
      <c r="A119" s="284" t="s">
        <v>40</v>
      </c>
      <c r="B119" s="395" t="s">
        <v>246</v>
      </c>
      <c r="C119" s="410" t="s">
        <v>204</v>
      </c>
      <c r="D119" s="391" t="s">
        <v>53</v>
      </c>
      <c r="E119" s="411" t="s">
        <v>232</v>
      </c>
      <c r="F119" s="411" t="s">
        <v>249</v>
      </c>
      <c r="G119" s="29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  <c r="R119" s="250"/>
      <c r="S119" s="250"/>
      <c r="T119" s="250"/>
      <c r="U119" s="250"/>
      <c r="V119" s="250"/>
      <c r="W119" s="250"/>
    </row>
    <row r="120" spans="1:23">
      <c r="A120" s="250"/>
      <c r="B120" s="392" t="s">
        <v>225</v>
      </c>
      <c r="C120" s="398">
        <v>4.4600000000000001E-2</v>
      </c>
      <c r="D120" s="398"/>
      <c r="E120" s="398"/>
      <c r="F120" s="398"/>
      <c r="G120" s="289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0"/>
      <c r="S120" s="250"/>
      <c r="T120" s="250"/>
      <c r="U120" s="250"/>
      <c r="V120" s="250"/>
      <c r="W120" s="250"/>
    </row>
    <row r="121" spans="1:23">
      <c r="A121" s="250"/>
      <c r="B121" s="392" t="s">
        <v>220</v>
      </c>
      <c r="C121" s="398">
        <v>8.1799999999999998E-2</v>
      </c>
      <c r="D121" s="398"/>
      <c r="E121" s="398"/>
      <c r="F121" s="398"/>
      <c r="G121" s="29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0"/>
      <c r="S121" s="250"/>
      <c r="T121" s="250"/>
      <c r="U121" s="250"/>
      <c r="V121" s="250"/>
      <c r="W121" s="250"/>
    </row>
    <row r="122" spans="1:23">
      <c r="A122" s="250"/>
      <c r="B122" s="392" t="s">
        <v>210</v>
      </c>
      <c r="C122" s="392"/>
      <c r="D122" s="400">
        <v>8.1300000000000011E-2</v>
      </c>
      <c r="E122" s="392"/>
      <c r="F122" s="398"/>
      <c r="G122" s="29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  <c r="R122" s="250"/>
      <c r="S122" s="250"/>
      <c r="T122" s="250"/>
      <c r="U122" s="250"/>
      <c r="V122" s="250"/>
      <c r="W122" s="250"/>
    </row>
    <row r="123" spans="1:23">
      <c r="A123" s="250"/>
      <c r="B123" s="392" t="s">
        <v>226</v>
      </c>
      <c r="C123" s="398">
        <v>6.0599999999999994E-2</v>
      </c>
      <c r="D123" s="398"/>
      <c r="E123" s="398">
        <f>E10-D10</f>
        <v>2.6100000000000005E-2</v>
      </c>
      <c r="F123" s="398"/>
      <c r="G123" s="289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  <c r="R123" s="250"/>
      <c r="S123" s="250"/>
      <c r="T123" s="250"/>
      <c r="U123" s="250"/>
      <c r="V123" s="250"/>
      <c r="W123" s="250"/>
    </row>
    <row r="124" spans="1:23">
      <c r="A124" s="250"/>
      <c r="B124" s="392" t="s">
        <v>231</v>
      </c>
      <c r="C124" s="398">
        <v>8.77E-2</v>
      </c>
      <c r="D124" s="398"/>
      <c r="E124" s="398">
        <f>E11-D11</f>
        <v>1.2000000000000011E-2</v>
      </c>
      <c r="F124" s="398">
        <f>F11-E11</f>
        <v>1.999999999999999E-2</v>
      </c>
      <c r="G124" s="29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  <c r="R124" s="250"/>
      <c r="S124" s="250"/>
      <c r="T124" s="250"/>
      <c r="U124" s="250"/>
      <c r="V124" s="250"/>
      <c r="W124" s="250"/>
    </row>
    <row r="125" spans="1:23">
      <c r="A125" s="250"/>
      <c r="B125" s="392" t="s">
        <v>215</v>
      </c>
      <c r="C125" s="398">
        <v>7.0999999999999994E-2</v>
      </c>
      <c r="D125" s="398"/>
      <c r="E125" s="398">
        <f>G36</f>
        <v>6.1000000000000082E-3</v>
      </c>
      <c r="F125" s="398"/>
      <c r="G125" s="29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  <c r="R125" s="250"/>
      <c r="S125" s="250"/>
      <c r="T125" s="250"/>
      <c r="U125" s="250"/>
      <c r="V125" s="250"/>
      <c r="W125" s="250"/>
    </row>
    <row r="126" spans="1:23">
      <c r="A126" s="250"/>
      <c r="B126" s="392" t="s">
        <v>227</v>
      </c>
      <c r="C126" s="398"/>
      <c r="D126" s="398">
        <v>9.0650999999999995E-2</v>
      </c>
      <c r="E126" s="398"/>
      <c r="F126" s="398"/>
      <c r="G126" s="289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  <c r="R126" s="250"/>
      <c r="S126" s="250"/>
      <c r="T126" s="250"/>
      <c r="U126" s="250"/>
      <c r="V126" s="250"/>
      <c r="W126" s="250"/>
    </row>
    <row r="127" spans="1:23">
      <c r="A127" s="250"/>
      <c r="B127" s="392" t="s">
        <v>213</v>
      </c>
      <c r="C127" s="398"/>
      <c r="D127" s="398">
        <v>5.6600000000000004E-2</v>
      </c>
      <c r="E127" s="392"/>
      <c r="F127" s="398"/>
      <c r="G127" s="289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  <c r="R127" s="250"/>
      <c r="S127" s="250"/>
      <c r="T127" s="250"/>
      <c r="U127" s="250"/>
      <c r="V127" s="250"/>
      <c r="W127" s="250"/>
    </row>
    <row r="128" spans="1:23">
      <c r="A128" s="250"/>
      <c r="B128" s="392" t="s">
        <v>218</v>
      </c>
      <c r="C128" s="398">
        <v>7.5999999999999998E-2</v>
      </c>
      <c r="D128" s="392"/>
      <c r="E128" s="398"/>
      <c r="F128" s="398"/>
      <c r="G128" s="289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  <c r="R128" s="250"/>
      <c r="S128" s="250"/>
      <c r="T128" s="250"/>
      <c r="U128" s="250"/>
      <c r="V128" s="250"/>
      <c r="W128" s="250"/>
    </row>
    <row r="129" spans="1:23">
      <c r="A129" s="250"/>
      <c r="B129" s="392" t="s">
        <v>228</v>
      </c>
      <c r="C129" s="398"/>
      <c r="D129" s="398">
        <v>7.9100000000000004E-2</v>
      </c>
      <c r="E129" s="392"/>
      <c r="F129" s="398"/>
      <c r="G129" s="29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  <c r="R129" s="250"/>
      <c r="S129" s="250"/>
      <c r="T129" s="250"/>
      <c r="U129" s="250"/>
      <c r="V129" s="250"/>
      <c r="W129" s="250"/>
    </row>
    <row r="130" spans="1:23">
      <c r="A130" s="250"/>
      <c r="B130" s="392" t="s">
        <v>221</v>
      </c>
      <c r="C130" s="398">
        <v>8.3000000000000004E-2</v>
      </c>
      <c r="D130" s="398"/>
      <c r="E130" s="398"/>
      <c r="F130" s="398"/>
      <c r="G130" s="291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  <c r="R130" s="250"/>
      <c r="S130" s="250"/>
      <c r="T130" s="250"/>
      <c r="U130" s="250"/>
      <c r="V130" s="250"/>
      <c r="W130" s="250"/>
    </row>
    <row r="131" spans="1:23">
      <c r="A131" s="250"/>
      <c r="B131" s="392" t="s">
        <v>216</v>
      </c>
      <c r="C131" s="398">
        <v>5.04E-2</v>
      </c>
      <c r="D131" s="398"/>
      <c r="E131" s="398">
        <f>E19-D19</f>
        <v>2.0000000000000004E-2</v>
      </c>
      <c r="F131" s="398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  <c r="R131" s="250"/>
      <c r="S131" s="250"/>
      <c r="T131" s="250"/>
      <c r="U131" s="250"/>
      <c r="V131" s="250"/>
      <c r="W131" s="250"/>
    </row>
    <row r="132" spans="1:23">
      <c r="A132" s="250"/>
      <c r="B132" s="392" t="s">
        <v>211</v>
      </c>
      <c r="C132" s="398">
        <v>6.480000000000001E-2</v>
      </c>
      <c r="D132" s="392"/>
      <c r="E132" s="398"/>
      <c r="F132" s="398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  <c r="R132" s="250"/>
      <c r="S132" s="250"/>
      <c r="T132" s="250"/>
      <c r="U132" s="250"/>
      <c r="V132" s="250"/>
      <c r="W132" s="250"/>
    </row>
    <row r="133" spans="1:23">
      <c r="A133" s="250"/>
      <c r="B133" s="392" t="s">
        <v>229</v>
      </c>
      <c r="C133" s="400">
        <v>6.3E-2</v>
      </c>
      <c r="D133" s="400"/>
      <c r="E133" s="398"/>
      <c r="F133" s="398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  <c r="R133" s="250"/>
      <c r="S133" s="250"/>
      <c r="T133" s="250"/>
      <c r="U133" s="250"/>
      <c r="V133" s="250"/>
      <c r="W133" s="250"/>
    </row>
    <row r="134" spans="1:23">
      <c r="A134" s="250"/>
      <c r="B134" s="392" t="s">
        <v>230</v>
      </c>
      <c r="C134" s="398">
        <v>7.9000000000000001E-2</v>
      </c>
      <c r="D134" s="398"/>
      <c r="E134" s="398">
        <f>E22-D22</f>
        <v>1.0000000000000009E-2</v>
      </c>
      <c r="F134" s="398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  <c r="R134" s="250"/>
      <c r="S134" s="250"/>
      <c r="T134" s="250"/>
      <c r="U134" s="250"/>
      <c r="V134" s="250"/>
      <c r="W134" s="250"/>
    </row>
    <row r="135" spans="1:23">
      <c r="A135" s="250"/>
      <c r="B135" s="392" t="s">
        <v>214</v>
      </c>
      <c r="C135" s="398">
        <v>6.5000000000000002E-2</v>
      </c>
      <c r="D135" s="398"/>
      <c r="E135" s="398">
        <f>E23-D23</f>
        <v>1.0999999999999996E-2</v>
      </c>
      <c r="F135" s="398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  <c r="R135" s="250"/>
      <c r="S135" s="250"/>
      <c r="T135" s="250"/>
      <c r="U135" s="250"/>
      <c r="V135" s="250"/>
      <c r="W135" s="250"/>
    </row>
    <row r="136" spans="1:23">
      <c r="A136" s="250"/>
      <c r="B136" s="394" t="s">
        <v>209</v>
      </c>
      <c r="C136" s="403"/>
      <c r="D136" s="403">
        <f>$F$37</f>
        <v>7.1217050312156124E-2</v>
      </c>
      <c r="E136" s="392"/>
      <c r="F136" s="403">
        <f>F25-E25</f>
        <v>1.6463534664179935E-2</v>
      </c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  <c r="R136" s="250"/>
      <c r="S136" s="250"/>
      <c r="T136" s="250"/>
      <c r="U136" s="250"/>
      <c r="V136" s="250"/>
      <c r="W136" s="250"/>
    </row>
    <row r="137" spans="1:23">
      <c r="A137" s="250"/>
      <c r="B137" s="250"/>
      <c r="C137" s="251"/>
      <c r="D137" s="251"/>
      <c r="E137" s="251"/>
      <c r="F137" s="254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  <c r="R137" s="250"/>
      <c r="S137" s="250"/>
      <c r="T137" s="250"/>
      <c r="U137" s="250"/>
      <c r="V137" s="250"/>
      <c r="W137" s="250"/>
    </row>
    <row r="138" spans="1:23">
      <c r="A138" s="250"/>
      <c r="B138" s="250"/>
      <c r="C138" s="250"/>
      <c r="D138" s="251"/>
      <c r="E138" s="251"/>
      <c r="F138" s="251"/>
      <c r="G138" s="254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  <c r="R138" s="250"/>
      <c r="S138" s="250"/>
      <c r="T138" s="250"/>
      <c r="U138" s="250"/>
      <c r="V138" s="250"/>
      <c r="W138" s="250"/>
    </row>
    <row r="139" spans="1:23">
      <c r="A139" s="250"/>
      <c r="B139" s="250"/>
      <c r="C139" s="250"/>
      <c r="D139" s="251"/>
      <c r="E139" s="251"/>
      <c r="F139" s="251"/>
      <c r="G139" s="254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  <c r="R139" s="250"/>
      <c r="S139" s="250"/>
      <c r="T139" s="250"/>
      <c r="U139" s="250"/>
      <c r="V139" s="250"/>
      <c r="W139" s="250"/>
    </row>
    <row r="140" spans="1:23">
      <c r="A140" s="250"/>
      <c r="B140" s="250"/>
      <c r="C140" s="250"/>
      <c r="D140" s="251"/>
      <c r="E140" s="251"/>
      <c r="F140" s="251"/>
      <c r="G140" s="254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  <c r="R140" s="250"/>
      <c r="S140" s="250"/>
      <c r="T140" s="250"/>
      <c r="U140" s="250"/>
      <c r="V140" s="250"/>
      <c r="W140" s="250"/>
    </row>
    <row r="141" spans="1:23" ht="13.2" customHeight="1">
      <c r="A141" s="250"/>
      <c r="B141" s="250"/>
      <c r="C141" s="250"/>
      <c r="D141" s="251"/>
      <c r="E141" s="251"/>
      <c r="F141" s="251"/>
      <c r="G141" s="254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  <c r="R141" s="250"/>
      <c r="S141" s="250"/>
      <c r="T141" s="250"/>
      <c r="U141" s="250"/>
      <c r="V141" s="250"/>
      <c r="W141" s="250"/>
    </row>
  </sheetData>
  <sortState ref="L98:N112">
    <sortCondition ref="N98:N112"/>
  </sortState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20"/>
  <sheetViews>
    <sheetView workbookViewId="0">
      <selection activeCell="C9" sqref="C9"/>
    </sheetView>
  </sheetViews>
  <sheetFormatPr baseColWidth="10" defaultRowHeight="13.2"/>
  <sheetData>
    <row r="1" spans="2:14" ht="13.8" thickBot="1"/>
    <row r="2" spans="2:14" ht="44.4" thickTop="1" thickBot="1">
      <c r="B2" s="651"/>
      <c r="C2" s="560" t="s">
        <v>111</v>
      </c>
      <c r="D2" s="653" t="s">
        <v>310</v>
      </c>
      <c r="E2" s="654"/>
      <c r="F2" s="655"/>
      <c r="G2" s="560" t="s">
        <v>111</v>
      </c>
      <c r="H2" s="653" t="s">
        <v>311</v>
      </c>
      <c r="I2" s="654"/>
      <c r="J2" s="655"/>
      <c r="K2" s="560" t="s">
        <v>111</v>
      </c>
      <c r="L2" s="653" t="s">
        <v>312</v>
      </c>
      <c r="M2" s="654"/>
      <c r="N2" s="654"/>
    </row>
    <row r="3" spans="2:14" ht="33.6" thickTop="1" thickBot="1">
      <c r="B3" s="652"/>
      <c r="C3" s="561" t="s">
        <v>313</v>
      </c>
      <c r="D3" s="561" t="s">
        <v>158</v>
      </c>
      <c r="E3" s="561" t="s">
        <v>314</v>
      </c>
      <c r="F3" s="561" t="s">
        <v>315</v>
      </c>
      <c r="G3" s="561" t="s">
        <v>49</v>
      </c>
      <c r="H3" s="561" t="s">
        <v>158</v>
      </c>
      <c r="I3" s="561" t="s">
        <v>314</v>
      </c>
      <c r="J3" s="561" t="s">
        <v>315</v>
      </c>
      <c r="K3" s="561" t="s">
        <v>15</v>
      </c>
      <c r="L3" s="561" t="s">
        <v>158</v>
      </c>
      <c r="M3" s="561" t="s">
        <v>314</v>
      </c>
      <c r="N3" s="562" t="s">
        <v>315</v>
      </c>
    </row>
    <row r="4" spans="2:14" ht="14.4" thickTop="1" thickBot="1">
      <c r="B4" s="563" t="s">
        <v>47</v>
      </c>
      <c r="C4" s="564">
        <v>7.91</v>
      </c>
      <c r="D4" s="565"/>
      <c r="E4" s="565"/>
      <c r="F4" s="565"/>
      <c r="G4" s="564">
        <v>7.91</v>
      </c>
      <c r="H4" s="565"/>
      <c r="I4" s="565"/>
      <c r="J4" s="565"/>
      <c r="K4" s="564">
        <v>11.37</v>
      </c>
      <c r="L4" s="565"/>
      <c r="M4" s="565"/>
      <c r="N4" s="566"/>
    </row>
    <row r="5" spans="2:14" ht="13.8" thickBot="1">
      <c r="B5" s="563" t="s">
        <v>117</v>
      </c>
      <c r="C5" s="564">
        <v>8.1300000000000008</v>
      </c>
      <c r="D5" s="564">
        <v>4.45</v>
      </c>
      <c r="E5" s="564">
        <v>7.35</v>
      </c>
      <c r="F5" s="564">
        <v>0.78</v>
      </c>
      <c r="G5" s="564">
        <v>8.1300000000000008</v>
      </c>
      <c r="H5" s="564">
        <v>4.45</v>
      </c>
      <c r="I5" s="564">
        <v>7.35</v>
      </c>
      <c r="J5" s="567">
        <v>0.78</v>
      </c>
      <c r="K5" s="564">
        <v>8.1300000000000008</v>
      </c>
      <c r="L5" s="564">
        <v>5.08</v>
      </c>
      <c r="M5" s="564">
        <v>7.15</v>
      </c>
      <c r="N5" s="568">
        <v>0.74</v>
      </c>
    </row>
    <row r="6" spans="2:14" ht="13.8" thickBot="1">
      <c r="B6" s="563" t="s">
        <v>119</v>
      </c>
      <c r="C6" s="564">
        <v>4.78</v>
      </c>
      <c r="D6" s="564">
        <v>3.12</v>
      </c>
      <c r="E6" s="564">
        <v>4.2300000000000004</v>
      </c>
      <c r="F6" s="564">
        <v>0.5</v>
      </c>
      <c r="G6" s="564">
        <v>6.78</v>
      </c>
      <c r="H6" s="564">
        <v>3.12</v>
      </c>
      <c r="I6" s="564">
        <v>4.2300000000000004</v>
      </c>
      <c r="J6" s="567">
        <v>0.5</v>
      </c>
      <c r="K6" s="564">
        <v>6.89</v>
      </c>
      <c r="L6" s="564">
        <v>3.12</v>
      </c>
      <c r="M6" s="564">
        <v>6.52</v>
      </c>
      <c r="N6" s="568">
        <v>0.9</v>
      </c>
    </row>
    <row r="7" spans="2:14" ht="13.8" thickBot="1">
      <c r="B7" s="563" t="s">
        <v>121</v>
      </c>
      <c r="C7" s="564">
        <v>6.5</v>
      </c>
      <c r="D7" s="564">
        <v>2.4</v>
      </c>
      <c r="E7" s="564">
        <v>6.96</v>
      </c>
      <c r="F7" s="565"/>
      <c r="G7" s="564">
        <v>7.6</v>
      </c>
      <c r="H7" s="564">
        <v>2.4</v>
      </c>
      <c r="I7" s="564">
        <v>8.24</v>
      </c>
      <c r="J7" s="565"/>
      <c r="K7" s="564">
        <v>7</v>
      </c>
      <c r="L7" s="564">
        <v>2.4</v>
      </c>
      <c r="M7" s="564">
        <v>6.88</v>
      </c>
      <c r="N7" s="566"/>
    </row>
    <row r="8" spans="2:14" ht="13.8" thickBot="1">
      <c r="B8" s="563" t="s">
        <v>18</v>
      </c>
      <c r="C8" s="564">
        <v>7.6</v>
      </c>
      <c r="D8" s="564">
        <v>4.9000000000000004</v>
      </c>
      <c r="E8" s="564">
        <v>6.2</v>
      </c>
      <c r="F8" s="564">
        <v>0.8</v>
      </c>
      <c r="G8" s="565"/>
      <c r="H8" s="565"/>
      <c r="I8" s="565"/>
      <c r="J8" s="565"/>
      <c r="K8" s="564">
        <v>7.6</v>
      </c>
      <c r="L8" s="564">
        <v>4.9000000000000004</v>
      </c>
      <c r="M8" s="564">
        <v>6.2</v>
      </c>
      <c r="N8" s="568">
        <v>0.8</v>
      </c>
    </row>
    <row r="9" spans="2:14" ht="13.8" thickBot="1">
      <c r="B9" s="563" t="s">
        <v>50</v>
      </c>
      <c r="C9" s="564">
        <v>5.47</v>
      </c>
      <c r="D9" s="564">
        <v>3.28</v>
      </c>
      <c r="E9" s="564">
        <v>6.33</v>
      </c>
      <c r="F9" s="564">
        <v>1.01</v>
      </c>
      <c r="G9" s="564">
        <v>5.47</v>
      </c>
      <c r="H9" s="564">
        <v>3.28</v>
      </c>
      <c r="I9" s="564">
        <v>6.33</v>
      </c>
      <c r="J9" s="567">
        <v>1.01</v>
      </c>
      <c r="K9" s="564">
        <v>5.47</v>
      </c>
      <c r="L9" s="564">
        <v>3.28</v>
      </c>
      <c r="M9" s="564">
        <v>6.33</v>
      </c>
      <c r="N9" s="568">
        <v>1.01</v>
      </c>
    </row>
    <row r="10" spans="2:14" ht="13.8" thickBot="1">
      <c r="B10" s="563" t="s">
        <v>133</v>
      </c>
      <c r="C10" s="565"/>
      <c r="D10" s="565"/>
      <c r="E10" s="565"/>
      <c r="F10" s="565"/>
      <c r="G10" s="565"/>
      <c r="H10" s="565"/>
      <c r="I10" s="565"/>
      <c r="J10" s="565"/>
      <c r="K10" s="564">
        <v>14.29</v>
      </c>
      <c r="L10" s="565"/>
      <c r="M10" s="565"/>
      <c r="N10" s="568">
        <v>0.82</v>
      </c>
    </row>
    <row r="11" spans="2:14" ht="13.8" thickBot="1">
      <c r="B11" s="563" t="s">
        <v>19</v>
      </c>
      <c r="C11" s="564">
        <v>8.18</v>
      </c>
      <c r="D11" s="564">
        <v>5.08</v>
      </c>
      <c r="E11" s="564">
        <v>8.2100000000000009</v>
      </c>
      <c r="F11" s="564">
        <v>0.92</v>
      </c>
      <c r="G11" s="565"/>
      <c r="H11" s="565"/>
      <c r="I11" s="565"/>
      <c r="J11" s="565"/>
      <c r="K11" s="564">
        <v>8.6300000000000008</v>
      </c>
      <c r="L11" s="564">
        <v>5.08</v>
      </c>
      <c r="M11" s="564">
        <v>8.27</v>
      </c>
      <c r="N11" s="568">
        <v>0.93</v>
      </c>
    </row>
    <row r="12" spans="2:14" ht="13.8" thickBot="1">
      <c r="B12" s="563" t="s">
        <v>137</v>
      </c>
      <c r="C12" s="564">
        <v>8.77</v>
      </c>
      <c r="D12" s="564">
        <v>6.4</v>
      </c>
      <c r="E12" s="564">
        <v>5.64</v>
      </c>
      <c r="F12" s="565"/>
      <c r="G12" s="564">
        <v>9.9700000000000006</v>
      </c>
      <c r="H12" s="564">
        <v>6.4</v>
      </c>
      <c r="I12" s="564">
        <v>5.64</v>
      </c>
      <c r="J12" s="565"/>
      <c r="K12" s="564">
        <v>10.25</v>
      </c>
      <c r="L12" s="564">
        <v>7.93</v>
      </c>
      <c r="M12" s="564">
        <v>6.97</v>
      </c>
      <c r="N12" s="566"/>
    </row>
    <row r="13" spans="2:14" ht="13.8" thickBot="1">
      <c r="B13" s="563" t="s">
        <v>139</v>
      </c>
      <c r="C13" s="564">
        <v>7.1</v>
      </c>
      <c r="D13" s="564">
        <v>3.44</v>
      </c>
      <c r="E13" s="564">
        <v>6.75</v>
      </c>
      <c r="F13" s="564">
        <v>0.94</v>
      </c>
      <c r="G13" s="564">
        <v>7.71</v>
      </c>
      <c r="H13" s="564">
        <v>3.44</v>
      </c>
      <c r="I13" s="564">
        <v>6.75</v>
      </c>
      <c r="J13" s="567">
        <v>0.94</v>
      </c>
      <c r="K13" s="564">
        <v>7.1</v>
      </c>
      <c r="L13" s="564">
        <v>3.44</v>
      </c>
      <c r="M13" s="564">
        <v>6.75</v>
      </c>
      <c r="N13" s="568">
        <v>0.94</v>
      </c>
    </row>
    <row r="14" spans="2:14" ht="13.8" thickBot="1">
      <c r="B14" s="563" t="s">
        <v>51</v>
      </c>
      <c r="C14" s="564">
        <v>6.06</v>
      </c>
      <c r="D14" s="564">
        <v>5.3</v>
      </c>
      <c r="E14" s="564">
        <v>4.96</v>
      </c>
      <c r="F14" s="564">
        <v>0.69</v>
      </c>
      <c r="G14" s="564">
        <v>8.67</v>
      </c>
      <c r="H14" s="564">
        <v>5.3</v>
      </c>
      <c r="I14" s="564">
        <v>4.96</v>
      </c>
      <c r="J14" s="567">
        <v>0.69</v>
      </c>
      <c r="K14" s="564">
        <v>6.7</v>
      </c>
      <c r="L14" s="564">
        <v>4</v>
      </c>
      <c r="M14" s="564">
        <v>5.7</v>
      </c>
      <c r="N14" s="568">
        <v>0.61</v>
      </c>
    </row>
    <row r="15" spans="2:14" ht="13.8" thickBot="1">
      <c r="B15" s="563" t="s">
        <v>142</v>
      </c>
      <c r="C15" s="564">
        <v>8.3000000000000007</v>
      </c>
      <c r="D15" s="565"/>
      <c r="E15" s="565"/>
      <c r="F15" s="564">
        <v>0.5</v>
      </c>
      <c r="G15" s="565"/>
      <c r="H15" s="565"/>
      <c r="I15" s="565"/>
      <c r="J15" s="565"/>
      <c r="K15" s="564">
        <v>9.1</v>
      </c>
      <c r="L15" s="565"/>
      <c r="M15" s="565"/>
      <c r="N15" s="568">
        <v>0.65</v>
      </c>
    </row>
    <row r="16" spans="2:14" ht="13.8" thickBot="1">
      <c r="B16" s="563" t="s">
        <v>20</v>
      </c>
      <c r="C16" s="564">
        <v>9.0650999999999993</v>
      </c>
      <c r="D16" s="564">
        <v>4.38</v>
      </c>
      <c r="E16" s="564">
        <v>8.77</v>
      </c>
      <c r="F16" s="564">
        <v>0.85599999999999998</v>
      </c>
      <c r="G16" s="564">
        <v>9.0650999999999993</v>
      </c>
      <c r="H16" s="564">
        <v>4.38</v>
      </c>
      <c r="I16" s="564">
        <v>8.77</v>
      </c>
      <c r="J16" s="567">
        <v>0.85599999999999998</v>
      </c>
      <c r="K16" s="564">
        <v>7.63</v>
      </c>
      <c r="L16" s="564">
        <v>4.32</v>
      </c>
      <c r="M16" s="564">
        <v>7</v>
      </c>
      <c r="N16" s="568">
        <v>0.85599999999999998</v>
      </c>
    </row>
    <row r="17" spans="2:14" ht="13.8" thickBot="1">
      <c r="B17" s="563" t="s">
        <v>147</v>
      </c>
      <c r="C17" s="564">
        <v>6.48</v>
      </c>
      <c r="D17" s="564">
        <v>2.2400000000000002</v>
      </c>
      <c r="E17" s="564">
        <v>6.75</v>
      </c>
      <c r="F17" s="564">
        <v>0.61</v>
      </c>
      <c r="G17" s="565"/>
      <c r="H17" s="565"/>
      <c r="I17" s="565"/>
      <c r="J17" s="565"/>
      <c r="K17" s="564">
        <v>6.48</v>
      </c>
      <c r="L17" s="564">
        <v>2.2400000000000002</v>
      </c>
      <c r="M17" s="564">
        <v>6.75</v>
      </c>
      <c r="N17" s="568">
        <v>0.61</v>
      </c>
    </row>
    <row r="18" spans="2:14" ht="13.8" thickBot="1">
      <c r="B18" s="563" t="s">
        <v>149</v>
      </c>
      <c r="C18" s="564">
        <v>6.3</v>
      </c>
      <c r="D18" s="564">
        <v>3.29</v>
      </c>
      <c r="E18" s="564">
        <v>6.32</v>
      </c>
      <c r="F18" s="564">
        <v>0.89</v>
      </c>
      <c r="G18" s="565"/>
      <c r="H18" s="565"/>
      <c r="I18" s="565"/>
      <c r="J18" s="565"/>
      <c r="K18" s="564">
        <v>7.3</v>
      </c>
      <c r="L18" s="564">
        <v>4.16</v>
      </c>
      <c r="M18" s="564">
        <v>6.8</v>
      </c>
      <c r="N18" s="568">
        <v>0.82</v>
      </c>
    </row>
    <row r="19" spans="2:14" ht="13.8" thickBot="1">
      <c r="B19" s="563" t="s">
        <v>152</v>
      </c>
      <c r="C19" s="564">
        <v>4.46</v>
      </c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6"/>
    </row>
    <row r="20" spans="2:14" ht="22.2" thickBot="1">
      <c r="B20" s="563" t="s">
        <v>154</v>
      </c>
      <c r="C20" s="564">
        <v>7.9</v>
      </c>
      <c r="D20" s="564">
        <v>3.9</v>
      </c>
      <c r="E20" s="564">
        <v>7.9</v>
      </c>
      <c r="F20" s="565"/>
      <c r="G20" s="564">
        <v>8.9</v>
      </c>
      <c r="H20" s="564">
        <v>4</v>
      </c>
      <c r="I20" s="564">
        <v>9.1999999999999993</v>
      </c>
      <c r="J20" s="565"/>
      <c r="K20" s="565"/>
      <c r="L20" s="565"/>
      <c r="M20" s="565"/>
      <c r="N20" s="566"/>
    </row>
  </sheetData>
  <mergeCells count="4">
    <mergeCell ref="B2:B3"/>
    <mergeCell ref="D2:F2"/>
    <mergeCell ref="H2:J2"/>
    <mergeCell ref="L2:N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41"/>
  <sheetViews>
    <sheetView showGridLines="0" topLeftCell="A104" zoomScale="90" zoomScaleNormal="90" workbookViewId="0">
      <selection activeCell="T92" sqref="T92"/>
    </sheetView>
  </sheetViews>
  <sheetFormatPr baseColWidth="10" defaultColWidth="6.5546875" defaultRowHeight="14.4"/>
  <cols>
    <col min="1" max="1" width="16.44140625" style="414" customWidth="1"/>
    <col min="2" max="3" width="14.33203125" style="414" customWidth="1"/>
    <col min="4" max="4" width="13.44140625" style="421" customWidth="1"/>
    <col min="5" max="5" width="13.88671875" style="421" customWidth="1"/>
    <col min="6" max="6" width="15.6640625" style="421" customWidth="1"/>
    <col min="7" max="7" width="8.6640625" style="415" customWidth="1"/>
    <col min="8" max="8" width="8.5546875" style="414" customWidth="1"/>
    <col min="9" max="9" width="8.44140625" style="414" customWidth="1"/>
    <col min="10" max="10" width="13.33203125" style="414" customWidth="1"/>
    <col min="11" max="11" width="11.6640625" style="414" bestFit="1" customWidth="1"/>
    <col min="12" max="12" width="13.33203125" style="414" bestFit="1" customWidth="1"/>
    <col min="13" max="13" width="8.88671875" style="414" customWidth="1"/>
    <col min="14" max="16384" width="6.5546875" style="414"/>
  </cols>
  <sheetData>
    <row r="1" spans="1:27">
      <c r="A1" s="33" t="s">
        <v>264</v>
      </c>
      <c r="B1" s="33"/>
      <c r="C1" s="250"/>
      <c r="D1" s="251"/>
      <c r="E1" s="251"/>
      <c r="F1" s="251"/>
      <c r="G1" s="254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</row>
    <row r="2" spans="1:27">
      <c r="A2" s="250"/>
      <c r="B2" s="250"/>
      <c r="C2" s="250"/>
      <c r="D2" s="251"/>
      <c r="E2" s="251"/>
      <c r="F2" s="251"/>
      <c r="G2" s="254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</row>
    <row r="3" spans="1:27" s="417" customFormat="1">
      <c r="A3" s="416" t="s">
        <v>243</v>
      </c>
      <c r="C3" s="418"/>
      <c r="D3" s="418"/>
      <c r="E3" s="418"/>
      <c r="F3" s="419"/>
    </row>
    <row r="4" spans="1:27" hidden="1">
      <c r="A4" s="250"/>
      <c r="B4" s="395" t="s">
        <v>48</v>
      </c>
      <c r="C4" s="395" t="s">
        <v>208</v>
      </c>
      <c r="D4" s="395" t="s">
        <v>204</v>
      </c>
      <c r="E4" s="395" t="s">
        <v>205</v>
      </c>
      <c r="F4" s="395" t="s">
        <v>88</v>
      </c>
      <c r="G4" s="395" t="s">
        <v>15</v>
      </c>
      <c r="H4" s="391" t="s">
        <v>203</v>
      </c>
      <c r="I4" s="250"/>
      <c r="J4" s="250"/>
      <c r="K4" s="250"/>
      <c r="L4" s="259" t="s">
        <v>206</v>
      </c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</row>
    <row r="5" spans="1:27" hidden="1">
      <c r="A5" s="250"/>
      <c r="B5" s="396">
        <v>41348</v>
      </c>
      <c r="C5" s="397"/>
      <c r="D5" s="397"/>
      <c r="E5" s="397"/>
      <c r="F5" s="397"/>
      <c r="G5" s="398">
        <v>6.7000000000000004E-2</v>
      </c>
      <c r="H5" s="392" t="s">
        <v>51</v>
      </c>
      <c r="I5" s="250"/>
      <c r="J5" s="285"/>
      <c r="K5" s="250"/>
      <c r="L5" s="259" t="s">
        <v>207</v>
      </c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</row>
    <row r="6" spans="1:27" hidden="1">
      <c r="A6" s="250"/>
      <c r="B6" s="396">
        <v>41547</v>
      </c>
      <c r="C6" s="397"/>
      <c r="D6" s="397"/>
      <c r="E6" s="397"/>
      <c r="F6" s="397"/>
      <c r="G6" s="398">
        <v>0.1137</v>
      </c>
      <c r="H6" s="392" t="s">
        <v>47</v>
      </c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</row>
    <row r="7" spans="1:27" hidden="1">
      <c r="A7" s="250"/>
      <c r="B7" s="396">
        <v>41609</v>
      </c>
      <c r="C7" s="398"/>
      <c r="D7" s="398">
        <v>4.4600000000000001E-2</v>
      </c>
      <c r="E7" s="397"/>
      <c r="F7" s="397"/>
      <c r="G7" s="397"/>
      <c r="H7" s="392" t="s">
        <v>152</v>
      </c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</row>
    <row r="8" spans="1:27" hidden="1">
      <c r="A8" s="250"/>
      <c r="B8" s="396">
        <v>41991</v>
      </c>
      <c r="C8" s="398"/>
      <c r="D8" s="398">
        <v>8.1799999999999998E-2</v>
      </c>
      <c r="E8" s="397"/>
      <c r="F8" s="397"/>
      <c r="G8" s="398">
        <v>8.6300000000000002E-2</v>
      </c>
      <c r="H8" s="392" t="s">
        <v>19</v>
      </c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AA8" s="422"/>
    </row>
    <row r="9" spans="1:27" hidden="1">
      <c r="A9" s="250"/>
      <c r="B9" s="399">
        <v>42061</v>
      </c>
      <c r="C9" s="400">
        <v>8.1300000000000011E-2</v>
      </c>
      <c r="D9" s="397"/>
      <c r="E9" s="401"/>
      <c r="F9" s="397"/>
      <c r="G9" s="398"/>
      <c r="H9" s="393" t="s">
        <v>201</v>
      </c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</row>
    <row r="10" spans="1:27" hidden="1">
      <c r="A10" s="250"/>
      <c r="B10" s="396">
        <v>42186</v>
      </c>
      <c r="C10" s="398"/>
      <c r="D10" s="398">
        <v>6.0599999999999994E-2</v>
      </c>
      <c r="E10" s="398">
        <v>8.6699999999999999E-2</v>
      </c>
      <c r="F10" s="397"/>
      <c r="G10" s="397"/>
      <c r="H10" s="392" t="s">
        <v>51</v>
      </c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</row>
    <row r="11" spans="1:27" hidden="1">
      <c r="A11" s="250"/>
      <c r="B11" s="396">
        <v>42313</v>
      </c>
      <c r="C11" s="398"/>
      <c r="D11" s="398">
        <v>8.77E-2</v>
      </c>
      <c r="E11" s="398">
        <v>9.9700000000000011E-2</v>
      </c>
      <c r="F11" s="398">
        <v>0.1197</v>
      </c>
      <c r="G11" s="398">
        <v>0.10249999999999999</v>
      </c>
      <c r="H11" s="392" t="s">
        <v>137</v>
      </c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</row>
    <row r="12" spans="1:27" hidden="1">
      <c r="A12" s="250"/>
      <c r="B12" s="396">
        <v>42535</v>
      </c>
      <c r="C12" s="398">
        <v>7.0999999999999994E-2</v>
      </c>
      <c r="D12" s="398"/>
      <c r="E12" s="398">
        <v>7.7100000000000002E-2</v>
      </c>
      <c r="F12" s="397"/>
      <c r="G12" s="398"/>
      <c r="H12" s="392" t="s">
        <v>139</v>
      </c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</row>
    <row r="13" spans="1:27" hidden="1">
      <c r="A13" s="250"/>
      <c r="B13" s="396">
        <v>42627</v>
      </c>
      <c r="C13" s="397"/>
      <c r="D13" s="397"/>
      <c r="E13" s="397"/>
      <c r="F13" s="397"/>
      <c r="G13" s="398">
        <v>7.2999999999999995E-2</v>
      </c>
      <c r="H13" s="392" t="s">
        <v>149</v>
      </c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</row>
    <row r="14" spans="1:27" hidden="1">
      <c r="A14" s="250"/>
      <c r="B14" s="396">
        <v>42736</v>
      </c>
      <c r="C14" s="398"/>
      <c r="D14" s="398">
        <v>9.0650999999999995E-2</v>
      </c>
      <c r="E14" s="398"/>
      <c r="F14" s="397"/>
      <c r="G14" s="397"/>
      <c r="H14" s="392" t="s">
        <v>20</v>
      </c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</row>
    <row r="15" spans="1:27" hidden="1">
      <c r="A15" s="250"/>
      <c r="B15" s="396">
        <v>42916</v>
      </c>
      <c r="C15" s="398"/>
      <c r="D15" s="398">
        <f>$J$31</f>
        <v>6.6900000000000015E-2</v>
      </c>
      <c r="E15" s="401"/>
      <c r="F15" s="397"/>
      <c r="G15" s="398">
        <f>$H$73</f>
        <v>6.5599999999999992E-2</v>
      </c>
      <c r="H15" s="392" t="s">
        <v>50</v>
      </c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</row>
    <row r="16" spans="1:27" hidden="1">
      <c r="A16" s="250"/>
      <c r="B16" s="396">
        <v>42920</v>
      </c>
      <c r="C16" s="398">
        <v>7.5999999999999998E-2</v>
      </c>
      <c r="D16" s="401"/>
      <c r="E16" s="397"/>
      <c r="F16" s="397"/>
      <c r="G16" s="398"/>
      <c r="H16" s="392" t="s">
        <v>18</v>
      </c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</row>
    <row r="17" spans="1:23" hidden="1">
      <c r="A17" s="250"/>
      <c r="B17" s="396">
        <v>42940</v>
      </c>
      <c r="C17" s="398"/>
      <c r="D17" s="398"/>
      <c r="E17" s="398">
        <v>7.9100000000000004E-2</v>
      </c>
      <c r="F17" s="397"/>
      <c r="G17" s="397"/>
      <c r="H17" s="392" t="s">
        <v>47</v>
      </c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</row>
    <row r="18" spans="1:23" hidden="1">
      <c r="A18" s="250"/>
      <c r="B18" s="396">
        <v>43066</v>
      </c>
      <c r="C18" s="397"/>
      <c r="D18" s="398">
        <v>8.3000000000000004E-2</v>
      </c>
      <c r="E18" s="397"/>
      <c r="F18" s="397"/>
      <c r="G18" s="398">
        <v>9.0999999999999998E-2</v>
      </c>
      <c r="H18" s="392" t="s">
        <v>142</v>
      </c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</row>
    <row r="19" spans="1:23" hidden="1">
      <c r="A19" s="250"/>
      <c r="B19" s="396">
        <v>43073</v>
      </c>
      <c r="C19" s="398"/>
      <c r="D19" s="398">
        <v>5.04E-2</v>
      </c>
      <c r="E19" s="398">
        <v>7.0400000000000004E-2</v>
      </c>
      <c r="F19" s="397"/>
      <c r="G19" s="398">
        <v>7.1500000000000008E-2</v>
      </c>
      <c r="H19" s="392" t="s">
        <v>119</v>
      </c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</row>
    <row r="20" spans="1:23" hidden="1">
      <c r="A20" s="250"/>
      <c r="B20" s="396">
        <v>43083</v>
      </c>
      <c r="C20" s="398">
        <v>6.480000000000001E-2</v>
      </c>
      <c r="D20" s="401"/>
      <c r="E20" s="397"/>
      <c r="F20" s="397"/>
      <c r="G20" s="397"/>
      <c r="H20" s="392" t="s">
        <v>147</v>
      </c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</row>
    <row r="21" spans="1:23" hidden="1">
      <c r="A21" s="250"/>
      <c r="B21" s="396">
        <v>43182</v>
      </c>
      <c r="C21" s="400"/>
      <c r="D21" s="400">
        <v>6.3E-2</v>
      </c>
      <c r="E21" s="397"/>
      <c r="F21" s="397"/>
      <c r="G21" s="397"/>
      <c r="H21" s="392" t="s">
        <v>149</v>
      </c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</row>
    <row r="22" spans="1:23" hidden="1">
      <c r="A22" s="250"/>
      <c r="B22" s="396">
        <v>43187</v>
      </c>
      <c r="C22" s="398"/>
      <c r="D22" s="398">
        <v>7.9000000000000001E-2</v>
      </c>
      <c r="E22" s="398">
        <v>8.900000000000001E-2</v>
      </c>
      <c r="F22" s="397"/>
      <c r="G22" s="397"/>
      <c r="H22" s="392" t="s">
        <v>52</v>
      </c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</row>
    <row r="23" spans="1:23" hidden="1">
      <c r="A23" s="250"/>
      <c r="B23" s="396">
        <v>43223</v>
      </c>
      <c r="C23" s="398"/>
      <c r="D23" s="398">
        <v>6.5000000000000002E-2</v>
      </c>
      <c r="E23" s="398">
        <v>7.5999999999999998E-2</v>
      </c>
      <c r="F23" s="397"/>
      <c r="G23" s="398">
        <v>7.0000000000000007E-2</v>
      </c>
      <c r="H23" s="392" t="s">
        <v>121</v>
      </c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</row>
    <row r="24" spans="1:23" hidden="1">
      <c r="A24" s="250"/>
      <c r="B24" s="396">
        <v>43272</v>
      </c>
      <c r="C24" s="397"/>
      <c r="D24" s="397"/>
      <c r="E24" s="397"/>
      <c r="F24" s="397"/>
      <c r="G24" s="398">
        <v>7.6299999999999993E-2</v>
      </c>
      <c r="H24" s="392" t="s">
        <v>20</v>
      </c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</row>
    <row r="25" spans="1:23" s="423" customFormat="1" hidden="1">
      <c r="A25" s="284"/>
      <c r="B25" s="402">
        <f>$E$37</f>
        <v>43356</v>
      </c>
      <c r="C25" s="403"/>
      <c r="D25" s="403"/>
      <c r="E25" s="403">
        <f>$F$37</f>
        <v>7.1217050312156124E-2</v>
      </c>
      <c r="F25" s="403">
        <f>'WACC BIPT 2019'!$G$31</f>
        <v>8.768058497633606E-2</v>
      </c>
      <c r="G25" s="403">
        <f>'WACC BIPT 2019'!$K$31</f>
        <v>8.3529076675368547E-2</v>
      </c>
      <c r="H25" s="394" t="s">
        <v>202</v>
      </c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</row>
    <row r="26" spans="1:23" hidden="1">
      <c r="A26" s="250"/>
      <c r="B26" s="250"/>
      <c r="C26" s="251"/>
      <c r="D26" s="251"/>
      <c r="E26" s="251"/>
      <c r="F26" s="254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</row>
    <row r="27" spans="1:23" hidden="1">
      <c r="A27" s="250"/>
      <c r="B27" s="250"/>
      <c r="C27" s="251"/>
      <c r="D27" s="251"/>
      <c r="E27" s="251"/>
      <c r="F27" s="254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</row>
    <row r="28" spans="1:23" hidden="1">
      <c r="A28" s="250"/>
      <c r="B28" s="261" t="s">
        <v>204</v>
      </c>
      <c r="C28" s="262" t="s">
        <v>59</v>
      </c>
      <c r="D28" s="262" t="s">
        <v>195</v>
      </c>
      <c r="E28" s="263" t="s">
        <v>48</v>
      </c>
      <c r="F28" s="263" t="s">
        <v>196</v>
      </c>
      <c r="G28" s="263" t="s">
        <v>197</v>
      </c>
      <c r="H28" s="263" t="s">
        <v>200</v>
      </c>
      <c r="I28" s="264"/>
      <c r="J28" s="250"/>
      <c r="K28" s="250"/>
      <c r="L28" s="250"/>
      <c r="M28" s="264"/>
      <c r="N28" s="250"/>
      <c r="O28" s="250"/>
      <c r="P28" s="250"/>
      <c r="Q28" s="250"/>
      <c r="R28" s="250"/>
      <c r="S28" s="250"/>
      <c r="T28" s="250"/>
      <c r="U28" s="250"/>
      <c r="V28" s="250"/>
      <c r="W28" s="250"/>
    </row>
    <row r="29" spans="1:23" hidden="1">
      <c r="A29" s="250"/>
      <c r="B29" s="265" t="s">
        <v>152</v>
      </c>
      <c r="C29" s="266" t="s">
        <v>198</v>
      </c>
      <c r="D29" s="266" t="s">
        <v>198</v>
      </c>
      <c r="E29" s="267">
        <v>41609</v>
      </c>
      <c r="F29" s="268">
        <v>4.4600000000000001E-2</v>
      </c>
      <c r="G29" s="265"/>
      <c r="H29" s="265"/>
      <c r="I29" s="264"/>
      <c r="J29" s="264"/>
      <c r="K29" s="250"/>
      <c r="L29" s="250"/>
      <c r="M29" s="264"/>
      <c r="N29" s="250"/>
      <c r="O29" s="250"/>
      <c r="P29" s="250"/>
      <c r="Q29" s="250"/>
      <c r="R29" s="250"/>
      <c r="S29" s="250"/>
      <c r="T29" s="250"/>
      <c r="U29" s="250"/>
      <c r="V29" s="250"/>
      <c r="W29" s="250"/>
    </row>
    <row r="30" spans="1:23" hidden="1">
      <c r="A30" s="250"/>
      <c r="B30" s="265" t="s">
        <v>119</v>
      </c>
      <c r="C30" s="266">
        <v>3.47</v>
      </c>
      <c r="D30" s="266">
        <v>4.41</v>
      </c>
      <c r="E30" s="267">
        <v>43073</v>
      </c>
      <c r="F30" s="268">
        <v>5.04E-2</v>
      </c>
      <c r="G30" s="269">
        <v>2.0000000000000004E-2</v>
      </c>
      <c r="H30" s="268">
        <v>7.0400000000000004E-2</v>
      </c>
      <c r="I30" s="264"/>
      <c r="J30" s="264"/>
      <c r="K30" s="250"/>
      <c r="L30" s="250"/>
      <c r="M30" s="264"/>
      <c r="N30" s="250"/>
      <c r="O30" s="250"/>
      <c r="P30" s="250"/>
      <c r="Q30" s="250"/>
      <c r="R30" s="250"/>
      <c r="S30" s="250"/>
      <c r="T30" s="250"/>
      <c r="U30" s="250"/>
      <c r="V30" s="250"/>
      <c r="W30" s="250"/>
    </row>
    <row r="31" spans="1:23" hidden="1">
      <c r="A31" s="250"/>
      <c r="B31" s="265" t="s">
        <v>50</v>
      </c>
      <c r="C31" s="266">
        <v>3.29</v>
      </c>
      <c r="D31" s="266">
        <v>6.75</v>
      </c>
      <c r="E31" s="267">
        <v>42916</v>
      </c>
      <c r="F31" s="268">
        <v>5.6600000000000004E-2</v>
      </c>
      <c r="G31" s="269">
        <v>0</v>
      </c>
      <c r="H31" s="268">
        <v>5.6600000000000004E-2</v>
      </c>
      <c r="I31" s="287">
        <f>H31-4.17%</f>
        <v>1.4900000000000004E-2</v>
      </c>
      <c r="J31" s="287">
        <f>I31+5.2%</f>
        <v>6.6900000000000015E-2</v>
      </c>
      <c r="K31" s="250"/>
      <c r="L31" s="264"/>
      <c r="M31" s="264"/>
      <c r="N31" s="250"/>
      <c r="O31" s="250"/>
      <c r="P31" s="250"/>
      <c r="Q31" s="250"/>
      <c r="R31" s="250"/>
      <c r="S31" s="250"/>
      <c r="T31" s="250"/>
      <c r="U31" s="250"/>
      <c r="V31" s="250"/>
      <c r="W31" s="250"/>
    </row>
    <row r="32" spans="1:23" hidden="1">
      <c r="A32" s="250"/>
      <c r="B32" s="265" t="s">
        <v>51</v>
      </c>
      <c r="C32" s="266">
        <v>5.3</v>
      </c>
      <c r="D32" s="266">
        <v>4.96</v>
      </c>
      <c r="E32" s="267">
        <v>42186</v>
      </c>
      <c r="F32" s="268">
        <v>6.0599999999999994E-2</v>
      </c>
      <c r="G32" s="269">
        <v>2.6100000000000005E-2</v>
      </c>
      <c r="H32" s="268">
        <v>8.6699999999999999E-2</v>
      </c>
      <c r="I32" s="264"/>
      <c r="J32" s="264"/>
      <c r="K32" s="250"/>
      <c r="L32" s="286"/>
      <c r="M32" s="264"/>
      <c r="N32" s="250"/>
      <c r="O32" s="250"/>
      <c r="P32" s="250"/>
      <c r="Q32" s="250"/>
      <c r="R32" s="250"/>
      <c r="S32" s="250"/>
      <c r="T32" s="250"/>
      <c r="U32" s="250"/>
      <c r="V32" s="250"/>
      <c r="W32" s="250"/>
    </row>
    <row r="33" spans="1:23" hidden="1">
      <c r="A33" s="250"/>
      <c r="B33" s="265" t="s">
        <v>149</v>
      </c>
      <c r="C33" s="266"/>
      <c r="D33" s="266"/>
      <c r="E33" s="267">
        <v>43182</v>
      </c>
      <c r="F33" s="270">
        <v>6.3E-2</v>
      </c>
      <c r="G33" s="265"/>
      <c r="H33" s="265"/>
      <c r="I33" s="264"/>
      <c r="J33" s="264"/>
      <c r="K33" s="264"/>
      <c r="L33" s="264"/>
      <c r="M33" s="264"/>
      <c r="N33" s="250"/>
      <c r="O33" s="250"/>
      <c r="P33" s="250"/>
      <c r="Q33" s="250"/>
      <c r="R33" s="250"/>
      <c r="S33" s="250"/>
      <c r="T33" s="250"/>
      <c r="U33" s="250"/>
      <c r="V33" s="250"/>
      <c r="W33" s="250"/>
    </row>
    <row r="34" spans="1:23" hidden="1">
      <c r="A34" s="250"/>
      <c r="B34" s="265" t="s">
        <v>147</v>
      </c>
      <c r="C34" s="266">
        <v>2.2400000000000002</v>
      </c>
      <c r="D34" s="266">
        <v>6.75</v>
      </c>
      <c r="E34" s="267">
        <v>43083</v>
      </c>
      <c r="F34" s="268">
        <v>6.480000000000001E-2</v>
      </c>
      <c r="G34" s="265"/>
      <c r="H34" s="265"/>
      <c r="I34" s="264"/>
      <c r="J34" s="264"/>
      <c r="K34" s="264"/>
      <c r="L34" s="264"/>
      <c r="M34" s="264"/>
      <c r="N34" s="250"/>
      <c r="O34" s="250"/>
      <c r="P34" s="250"/>
      <c r="Q34" s="250"/>
      <c r="R34" s="250"/>
      <c r="S34" s="250"/>
      <c r="T34" s="250"/>
      <c r="U34" s="250"/>
      <c r="V34" s="250"/>
      <c r="W34" s="250"/>
    </row>
    <row r="35" spans="1:23" hidden="1">
      <c r="A35" s="250"/>
      <c r="B35" s="265" t="s">
        <v>121</v>
      </c>
      <c r="C35" s="266">
        <v>2.4</v>
      </c>
      <c r="D35" s="266">
        <v>6.96</v>
      </c>
      <c r="E35" s="267">
        <v>43223</v>
      </c>
      <c r="F35" s="268">
        <v>6.5000000000000002E-2</v>
      </c>
      <c r="G35" s="269">
        <v>1.0999999999999996E-2</v>
      </c>
      <c r="H35" s="268">
        <v>7.5999999999999998E-2</v>
      </c>
      <c r="I35" s="264"/>
      <c r="J35" s="264"/>
      <c r="K35" s="264"/>
      <c r="L35" s="264"/>
      <c r="M35" s="264"/>
      <c r="N35" s="250"/>
      <c r="O35" s="250"/>
      <c r="P35" s="250"/>
      <c r="Q35" s="250"/>
      <c r="R35" s="250"/>
      <c r="S35" s="250"/>
      <c r="T35" s="250"/>
      <c r="U35" s="250"/>
      <c r="V35" s="250"/>
      <c r="W35" s="250"/>
    </row>
    <row r="36" spans="1:23" hidden="1">
      <c r="A36" s="250"/>
      <c r="B36" s="265" t="s">
        <v>139</v>
      </c>
      <c r="C36" s="266">
        <v>3.44</v>
      </c>
      <c r="D36" s="266">
        <v>6.75</v>
      </c>
      <c r="E36" s="267">
        <v>42535</v>
      </c>
      <c r="F36" s="268">
        <v>7.0999999999999994E-2</v>
      </c>
      <c r="G36" s="269">
        <v>6.1000000000000082E-3</v>
      </c>
      <c r="H36" s="268">
        <v>7.7100000000000002E-2</v>
      </c>
      <c r="I36" s="264"/>
      <c r="J36" s="264"/>
      <c r="K36" s="264"/>
      <c r="L36" s="264"/>
      <c r="M36" s="264"/>
      <c r="N36" s="250"/>
      <c r="O36" s="250"/>
      <c r="P36" s="250"/>
      <c r="Q36" s="250"/>
      <c r="R36" s="250"/>
      <c r="S36" s="250"/>
      <c r="T36" s="250"/>
      <c r="U36" s="250"/>
      <c r="V36" s="250"/>
      <c r="W36" s="250"/>
    </row>
    <row r="37" spans="1:23" s="424" customFormat="1" hidden="1">
      <c r="A37" s="258"/>
      <c r="B37" s="271" t="s">
        <v>202</v>
      </c>
      <c r="C37" s="272"/>
      <c r="D37" s="272"/>
      <c r="E37" s="404">
        <v>43356</v>
      </c>
      <c r="F37" s="273">
        <f>'WACC BIPT 2019'!$F$31</f>
        <v>7.1217050312156124E-2</v>
      </c>
      <c r="G37" s="274">
        <f>H37-F37</f>
        <v>1.6463534664179935E-2</v>
      </c>
      <c r="H37" s="538">
        <f>'WACC BIPT 2019'!$G$31</f>
        <v>8.768058497633606E-2</v>
      </c>
      <c r="I37" s="275"/>
      <c r="J37" s="288"/>
      <c r="K37" s="275"/>
      <c r="L37" s="275"/>
      <c r="M37" s="275"/>
      <c r="N37" s="258"/>
      <c r="O37" s="258"/>
      <c r="P37" s="258"/>
      <c r="Q37" s="258"/>
      <c r="R37" s="258"/>
      <c r="S37" s="258"/>
      <c r="T37" s="258"/>
      <c r="U37" s="258"/>
      <c r="V37" s="258"/>
      <c r="W37" s="258"/>
    </row>
    <row r="38" spans="1:23" hidden="1">
      <c r="A38" s="250"/>
      <c r="B38" s="265" t="s">
        <v>18</v>
      </c>
      <c r="C38" s="266">
        <v>4.9000000000000004</v>
      </c>
      <c r="D38" s="266">
        <v>6.2</v>
      </c>
      <c r="E38" s="267">
        <v>6.67</v>
      </c>
      <c r="F38" s="268">
        <v>7.5999999999999998E-2</v>
      </c>
      <c r="G38" s="537" t="s">
        <v>307</v>
      </c>
      <c r="H38" s="539">
        <v>5.2200000000000006</v>
      </c>
      <c r="I38" s="264"/>
      <c r="J38" s="264"/>
      <c r="K38" s="264"/>
      <c r="L38" s="264"/>
      <c r="M38" s="264"/>
      <c r="N38" s="250"/>
      <c r="O38" s="250"/>
      <c r="P38" s="250"/>
      <c r="Q38" s="250"/>
      <c r="R38" s="250"/>
      <c r="S38" s="250"/>
      <c r="T38" s="250"/>
      <c r="U38" s="250"/>
      <c r="V38" s="250"/>
      <c r="W38" s="250"/>
    </row>
    <row r="39" spans="1:23" hidden="1">
      <c r="A39" s="250"/>
      <c r="B39" s="265" t="s">
        <v>52</v>
      </c>
      <c r="C39" s="266">
        <v>3.9</v>
      </c>
      <c r="D39" s="266">
        <v>7.9</v>
      </c>
      <c r="E39" s="267">
        <v>43187</v>
      </c>
      <c r="F39" s="268">
        <v>7.9000000000000001E-2</v>
      </c>
      <c r="G39" s="269">
        <v>1.0000000000000009E-2</v>
      </c>
      <c r="H39" s="539">
        <v>42920</v>
      </c>
      <c r="I39" s="264"/>
      <c r="J39" s="264"/>
      <c r="K39" s="264"/>
      <c r="L39" s="264"/>
      <c r="M39" s="264"/>
      <c r="N39" s="250"/>
      <c r="O39" s="250"/>
      <c r="P39" s="250"/>
      <c r="Q39" s="250"/>
      <c r="R39" s="250"/>
      <c r="S39" s="250"/>
      <c r="T39" s="250"/>
      <c r="U39" s="250"/>
      <c r="V39" s="250"/>
      <c r="W39" s="250"/>
    </row>
    <row r="40" spans="1:23" hidden="1">
      <c r="A40" s="250"/>
      <c r="B40" s="265" t="s">
        <v>47</v>
      </c>
      <c r="C40" s="266" t="s">
        <v>198</v>
      </c>
      <c r="D40" s="266" t="s">
        <v>198</v>
      </c>
      <c r="E40" s="267">
        <v>42940</v>
      </c>
      <c r="F40" s="268">
        <v>7.9100000000000004E-2</v>
      </c>
      <c r="G40" s="269">
        <v>0</v>
      </c>
      <c r="H40" s="268">
        <v>7.9100000000000004E-2</v>
      </c>
      <c r="I40" s="264"/>
      <c r="J40" s="264"/>
      <c r="K40" s="264"/>
      <c r="L40" s="264"/>
      <c r="M40" s="264"/>
      <c r="N40" s="250"/>
      <c r="O40" s="250"/>
      <c r="P40" s="250"/>
      <c r="Q40" s="250"/>
      <c r="R40" s="250"/>
      <c r="S40" s="250"/>
      <c r="T40" s="250"/>
      <c r="U40" s="250"/>
      <c r="V40" s="250"/>
      <c r="W40" s="250"/>
    </row>
    <row r="41" spans="1:23" s="424" customFormat="1" hidden="1">
      <c r="A41" s="258"/>
      <c r="B41" s="276" t="s">
        <v>201</v>
      </c>
      <c r="C41" s="277">
        <v>4.45</v>
      </c>
      <c r="D41" s="277">
        <v>7.35</v>
      </c>
      <c r="E41" s="278">
        <v>42061</v>
      </c>
      <c r="F41" s="270">
        <v>8.1300000000000011E-2</v>
      </c>
      <c r="G41" s="279">
        <v>0</v>
      </c>
      <c r="H41" s="270">
        <v>8.1300000000000011E-2</v>
      </c>
      <c r="I41" s="275"/>
      <c r="J41" s="275"/>
      <c r="K41" s="275"/>
      <c r="L41" s="275"/>
      <c r="M41" s="275"/>
      <c r="N41" s="258"/>
      <c r="O41" s="258"/>
      <c r="P41" s="258"/>
      <c r="Q41" s="258"/>
      <c r="R41" s="258"/>
      <c r="S41" s="258"/>
      <c r="T41" s="258"/>
      <c r="U41" s="258"/>
      <c r="V41" s="258"/>
      <c r="W41" s="258"/>
    </row>
    <row r="42" spans="1:23" hidden="1">
      <c r="A42" s="250"/>
      <c r="B42" s="265" t="s">
        <v>19</v>
      </c>
      <c r="C42" s="266">
        <v>5.08</v>
      </c>
      <c r="D42" s="266">
        <v>8.2100000000000009</v>
      </c>
      <c r="E42" s="267">
        <v>41991</v>
      </c>
      <c r="F42" s="268">
        <v>8.1799999999999998E-2</v>
      </c>
      <c r="G42" s="265"/>
      <c r="H42" s="265"/>
      <c r="I42" s="264"/>
      <c r="J42" s="264"/>
      <c r="K42" s="264"/>
      <c r="L42" s="264"/>
      <c r="M42" s="264"/>
      <c r="N42" s="250"/>
      <c r="O42" s="250"/>
      <c r="P42" s="250"/>
      <c r="Q42" s="250"/>
      <c r="R42" s="250"/>
      <c r="S42" s="250"/>
      <c r="T42" s="250"/>
      <c r="U42" s="250"/>
      <c r="V42" s="250"/>
      <c r="W42" s="250"/>
    </row>
    <row r="43" spans="1:23" hidden="1">
      <c r="A43" s="250"/>
      <c r="B43" s="265" t="s">
        <v>142</v>
      </c>
      <c r="C43" s="266" t="s">
        <v>198</v>
      </c>
      <c r="D43" s="266" t="s">
        <v>198</v>
      </c>
      <c r="E43" s="267">
        <v>43067</v>
      </c>
      <c r="F43" s="268">
        <v>8.3000000000000004E-2</v>
      </c>
      <c r="G43" s="265"/>
      <c r="H43" s="265"/>
      <c r="I43" s="264"/>
      <c r="J43" s="264"/>
      <c r="K43" s="264"/>
      <c r="L43" s="264"/>
      <c r="M43" s="264"/>
      <c r="N43" s="250"/>
      <c r="O43" s="250"/>
      <c r="P43" s="250"/>
      <c r="Q43" s="250"/>
      <c r="R43" s="250"/>
      <c r="S43" s="250"/>
      <c r="T43" s="250"/>
      <c r="U43" s="250"/>
      <c r="V43" s="250"/>
      <c r="W43" s="250"/>
    </row>
    <row r="44" spans="1:23" hidden="1">
      <c r="A44" s="250"/>
      <c r="B44" s="265" t="s">
        <v>137</v>
      </c>
      <c r="C44" s="266">
        <v>6.4</v>
      </c>
      <c r="D44" s="266">
        <v>5.64</v>
      </c>
      <c r="E44" s="267">
        <v>42313</v>
      </c>
      <c r="F44" s="268">
        <v>8.77E-2</v>
      </c>
      <c r="G44" s="269">
        <v>1.2000000000000011E-2</v>
      </c>
      <c r="H44" s="268">
        <v>9.9700000000000011E-2</v>
      </c>
      <c r="I44" s="264"/>
      <c r="J44" s="264"/>
      <c r="K44" s="264"/>
      <c r="L44" s="264"/>
      <c r="M44" s="264"/>
      <c r="N44" s="250"/>
      <c r="O44" s="250"/>
      <c r="P44" s="250"/>
      <c r="Q44" s="250"/>
      <c r="R44" s="250"/>
      <c r="S44" s="250"/>
      <c r="T44" s="250"/>
      <c r="U44" s="250"/>
      <c r="V44" s="250"/>
      <c r="W44" s="250"/>
    </row>
    <row r="45" spans="1:23" hidden="1">
      <c r="A45" s="250"/>
      <c r="B45" s="265" t="s">
        <v>20</v>
      </c>
      <c r="C45" s="266">
        <v>4.38</v>
      </c>
      <c r="D45" s="266">
        <v>8.77</v>
      </c>
      <c r="E45" s="267">
        <v>42736</v>
      </c>
      <c r="F45" s="268">
        <v>9.0650999999999995E-2</v>
      </c>
      <c r="G45" s="269">
        <v>0</v>
      </c>
      <c r="H45" s="268">
        <v>9.0650999999999995E-2</v>
      </c>
      <c r="I45" s="264"/>
      <c r="J45" s="264"/>
      <c r="K45" s="264"/>
      <c r="L45" s="264"/>
      <c r="M45" s="264"/>
      <c r="N45" s="250"/>
      <c r="O45" s="250"/>
      <c r="P45" s="250"/>
      <c r="Q45" s="250"/>
      <c r="R45" s="250"/>
      <c r="S45" s="250"/>
      <c r="T45" s="250"/>
      <c r="U45" s="250"/>
      <c r="V45" s="250"/>
      <c r="W45" s="250"/>
    </row>
    <row r="46" spans="1:23" hidden="1">
      <c r="A46" s="250"/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50"/>
      <c r="O46" s="250"/>
      <c r="P46" s="250"/>
      <c r="Q46" s="250"/>
      <c r="R46" s="250"/>
      <c r="S46" s="250"/>
      <c r="T46" s="250"/>
      <c r="U46" s="250"/>
      <c r="V46" s="250"/>
      <c r="W46" s="250"/>
    </row>
    <row r="47" spans="1:23" hidden="1">
      <c r="A47" s="250"/>
      <c r="B47" s="265" t="s">
        <v>133</v>
      </c>
      <c r="C47" s="265" t="s">
        <v>114</v>
      </c>
      <c r="D47" s="265" t="s">
        <v>114</v>
      </c>
      <c r="E47" s="266" t="s">
        <v>134</v>
      </c>
      <c r="F47" s="267"/>
      <c r="G47" s="264"/>
      <c r="H47" s="264"/>
      <c r="I47" s="264"/>
      <c r="J47" s="264"/>
      <c r="K47" s="264"/>
      <c r="L47" s="264"/>
      <c r="M47" s="264"/>
      <c r="N47" s="250"/>
      <c r="O47" s="250"/>
      <c r="P47" s="250"/>
      <c r="Q47" s="250"/>
      <c r="R47" s="250"/>
      <c r="S47" s="250"/>
      <c r="T47" s="250"/>
      <c r="U47" s="250"/>
      <c r="V47" s="250"/>
      <c r="W47" s="250"/>
    </row>
    <row r="48" spans="1:23" hidden="1">
      <c r="A48" s="250"/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50"/>
      <c r="O48" s="250"/>
      <c r="P48" s="250"/>
      <c r="Q48" s="250"/>
      <c r="R48" s="250"/>
      <c r="S48" s="250"/>
      <c r="T48" s="250"/>
      <c r="U48" s="250"/>
      <c r="V48" s="250"/>
      <c r="W48" s="250"/>
    </row>
    <row r="49" spans="1:23" hidden="1">
      <c r="A49" s="250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0"/>
      <c r="O49" s="250"/>
      <c r="P49" s="250"/>
      <c r="Q49" s="250"/>
      <c r="R49" s="250"/>
      <c r="S49" s="250"/>
      <c r="T49" s="250"/>
      <c r="U49" s="250"/>
      <c r="V49" s="250"/>
      <c r="W49" s="250"/>
    </row>
    <row r="50" spans="1:23" hidden="1">
      <c r="A50" s="250"/>
      <c r="B50" s="261" t="s">
        <v>49</v>
      </c>
      <c r="C50" s="262" t="s">
        <v>59</v>
      </c>
      <c r="D50" s="262" t="s">
        <v>195</v>
      </c>
      <c r="E50" s="263" t="s">
        <v>196</v>
      </c>
      <c r="F50" s="263" t="s">
        <v>48</v>
      </c>
      <c r="G50" s="264"/>
      <c r="H50" s="264"/>
      <c r="I50" s="264"/>
      <c r="J50" s="264"/>
      <c r="K50" s="264"/>
      <c r="L50" s="264"/>
      <c r="M50" s="264"/>
      <c r="N50" s="250"/>
      <c r="O50" s="250"/>
      <c r="P50" s="250"/>
      <c r="Q50" s="250"/>
      <c r="R50" s="250"/>
      <c r="S50" s="250"/>
      <c r="T50" s="250"/>
      <c r="U50" s="250"/>
      <c r="V50" s="250"/>
      <c r="W50" s="250"/>
    </row>
    <row r="51" spans="1:23" hidden="1">
      <c r="A51" s="250"/>
      <c r="B51" s="265" t="s">
        <v>47</v>
      </c>
      <c r="C51" s="266" t="s">
        <v>198</v>
      </c>
      <c r="D51" s="266" t="s">
        <v>198</v>
      </c>
      <c r="E51" s="268">
        <v>7.9100000000000004E-2</v>
      </c>
      <c r="F51" s="267">
        <v>42940</v>
      </c>
      <c r="G51" s="264"/>
      <c r="H51" s="264"/>
      <c r="I51" s="264"/>
      <c r="J51" s="264"/>
      <c r="K51" s="264"/>
      <c r="L51" s="264"/>
      <c r="M51" s="264"/>
      <c r="N51" s="250"/>
      <c r="O51" s="250"/>
      <c r="P51" s="250"/>
      <c r="Q51" s="250"/>
      <c r="R51" s="250"/>
      <c r="S51" s="250"/>
      <c r="T51" s="250"/>
      <c r="U51" s="250"/>
      <c r="V51" s="250"/>
      <c r="W51" s="250"/>
    </row>
    <row r="52" spans="1:23" hidden="1">
      <c r="A52" s="250"/>
      <c r="B52" s="265" t="s">
        <v>117</v>
      </c>
      <c r="C52" s="266">
        <v>4.45</v>
      </c>
      <c r="D52" s="266">
        <v>7.35</v>
      </c>
      <c r="E52" s="268">
        <v>8.1300000000000011E-2</v>
      </c>
      <c r="F52" s="267">
        <v>42061</v>
      </c>
      <c r="G52" s="264"/>
      <c r="H52" s="264"/>
      <c r="I52" s="264"/>
      <c r="J52" s="264"/>
      <c r="K52" s="264"/>
      <c r="L52" s="264"/>
      <c r="M52" s="264"/>
      <c r="N52" s="250"/>
      <c r="O52" s="250"/>
      <c r="P52" s="250"/>
      <c r="Q52" s="250"/>
      <c r="R52" s="250"/>
      <c r="S52" s="250"/>
      <c r="T52" s="250"/>
      <c r="U52" s="250"/>
      <c r="V52" s="250"/>
      <c r="W52" s="250"/>
    </row>
    <row r="53" spans="1:23" hidden="1">
      <c r="A53" s="250"/>
      <c r="B53" s="265" t="s">
        <v>119</v>
      </c>
      <c r="C53" s="266">
        <v>3.47</v>
      </c>
      <c r="D53" s="266">
        <v>4.41</v>
      </c>
      <c r="E53" s="268">
        <v>7.0400000000000004E-2</v>
      </c>
      <c r="F53" s="267">
        <v>43073</v>
      </c>
      <c r="G53" s="264"/>
      <c r="H53" s="264"/>
      <c r="I53" s="264"/>
      <c r="J53" s="264"/>
      <c r="K53" s="264"/>
      <c r="L53" s="264"/>
      <c r="M53" s="264"/>
      <c r="N53" s="250"/>
      <c r="O53" s="250"/>
      <c r="P53" s="250"/>
      <c r="Q53" s="250"/>
      <c r="R53" s="250"/>
      <c r="S53" s="250"/>
      <c r="T53" s="250"/>
      <c r="U53" s="250"/>
      <c r="V53" s="250"/>
      <c r="W53" s="250"/>
    </row>
    <row r="54" spans="1:23" hidden="1">
      <c r="A54" s="250"/>
      <c r="B54" s="265" t="s">
        <v>121</v>
      </c>
      <c r="C54" s="266">
        <v>2.4</v>
      </c>
      <c r="D54" s="266">
        <v>8.24</v>
      </c>
      <c r="E54" s="268">
        <v>7.5999999999999998E-2</v>
      </c>
      <c r="F54" s="267">
        <v>43223</v>
      </c>
      <c r="G54" s="264"/>
      <c r="H54" s="264"/>
      <c r="I54" s="264"/>
      <c r="J54" s="264"/>
      <c r="K54" s="264"/>
      <c r="L54" s="264"/>
      <c r="M54" s="264"/>
      <c r="N54" s="250"/>
      <c r="O54" s="250"/>
      <c r="P54" s="250"/>
      <c r="Q54" s="250"/>
      <c r="R54" s="250"/>
      <c r="S54" s="250"/>
      <c r="T54" s="250"/>
      <c r="U54" s="250"/>
      <c r="V54" s="250"/>
      <c r="W54" s="250"/>
    </row>
    <row r="55" spans="1:23" hidden="1">
      <c r="A55" s="250"/>
      <c r="B55" s="265" t="s">
        <v>50</v>
      </c>
      <c r="C55" s="266">
        <v>3.29</v>
      </c>
      <c r="D55" s="266">
        <v>6.75</v>
      </c>
      <c r="E55" s="268">
        <v>5.6600000000000004E-2</v>
      </c>
      <c r="F55" s="267"/>
      <c r="G55" s="264"/>
      <c r="H55" s="264"/>
      <c r="I55" s="264"/>
      <c r="J55" s="264"/>
      <c r="K55" s="264"/>
      <c r="L55" s="264"/>
      <c r="M55" s="264"/>
      <c r="N55" s="250"/>
      <c r="O55" s="250"/>
      <c r="P55" s="250"/>
      <c r="Q55" s="250"/>
      <c r="R55" s="250"/>
      <c r="S55" s="250"/>
      <c r="T55" s="250"/>
      <c r="U55" s="250"/>
      <c r="V55" s="250"/>
      <c r="W55" s="250"/>
    </row>
    <row r="56" spans="1:23" hidden="1">
      <c r="A56" s="250"/>
      <c r="B56" s="265" t="s">
        <v>137</v>
      </c>
      <c r="C56" s="266">
        <v>6.4</v>
      </c>
      <c r="D56" s="266">
        <v>5.64</v>
      </c>
      <c r="E56" s="268">
        <v>9.9700000000000011E-2</v>
      </c>
      <c r="F56" s="267">
        <v>42313</v>
      </c>
      <c r="G56" s="264"/>
      <c r="H56" s="264"/>
      <c r="I56" s="264"/>
      <c r="J56" s="264"/>
      <c r="K56" s="264"/>
      <c r="L56" s="264"/>
      <c r="M56" s="264"/>
      <c r="N56" s="250"/>
      <c r="O56" s="250"/>
      <c r="P56" s="250"/>
      <c r="Q56" s="250"/>
      <c r="R56" s="250"/>
      <c r="S56" s="250"/>
      <c r="T56" s="250"/>
      <c r="U56" s="250"/>
      <c r="V56" s="250"/>
      <c r="W56" s="250"/>
    </row>
    <row r="57" spans="1:23" hidden="1">
      <c r="A57" s="250"/>
      <c r="B57" s="265" t="s">
        <v>139</v>
      </c>
      <c r="C57" s="266">
        <v>3.44</v>
      </c>
      <c r="D57" s="266">
        <v>6.75</v>
      </c>
      <c r="E57" s="268">
        <v>7.7100000000000002E-2</v>
      </c>
      <c r="F57" s="267">
        <v>42535</v>
      </c>
      <c r="G57" s="264"/>
      <c r="H57" s="264"/>
      <c r="I57" s="264"/>
      <c r="J57" s="264"/>
      <c r="K57" s="264"/>
      <c r="L57" s="264"/>
      <c r="M57" s="264"/>
      <c r="N57" s="250"/>
      <c r="O57" s="250"/>
      <c r="P57" s="250"/>
      <c r="Q57" s="250"/>
      <c r="R57" s="250"/>
      <c r="S57" s="250"/>
      <c r="T57" s="250"/>
      <c r="U57" s="250"/>
      <c r="V57" s="250"/>
      <c r="W57" s="250"/>
    </row>
    <row r="58" spans="1:23" hidden="1">
      <c r="A58" s="250"/>
      <c r="B58" s="265" t="s">
        <v>51</v>
      </c>
      <c r="C58" s="266">
        <v>5.3</v>
      </c>
      <c r="D58" s="266">
        <v>4.96</v>
      </c>
      <c r="E58" s="268">
        <v>8.6699999999999999E-2</v>
      </c>
      <c r="F58" s="267"/>
      <c r="G58" s="264"/>
      <c r="H58" s="264"/>
      <c r="I58" s="264"/>
      <c r="J58" s="264"/>
      <c r="K58" s="264"/>
      <c r="L58" s="264"/>
      <c r="M58" s="264"/>
      <c r="N58" s="250"/>
      <c r="O58" s="250"/>
      <c r="P58" s="250"/>
      <c r="Q58" s="250"/>
      <c r="R58" s="250"/>
      <c r="S58" s="250"/>
      <c r="T58" s="250"/>
      <c r="U58" s="250"/>
      <c r="V58" s="250"/>
      <c r="W58" s="250"/>
    </row>
    <row r="59" spans="1:23" hidden="1">
      <c r="A59" s="250"/>
      <c r="B59" s="265" t="s">
        <v>20</v>
      </c>
      <c r="C59" s="266">
        <v>4.38</v>
      </c>
      <c r="D59" s="266">
        <v>8.77</v>
      </c>
      <c r="E59" s="268">
        <v>9.0650999999999995E-2</v>
      </c>
      <c r="F59" s="267">
        <v>42736</v>
      </c>
      <c r="G59" s="264"/>
      <c r="H59" s="264"/>
      <c r="I59" s="264"/>
      <c r="J59" s="264"/>
      <c r="K59" s="264"/>
      <c r="L59" s="264"/>
      <c r="M59" s="264"/>
      <c r="N59" s="250"/>
      <c r="O59" s="250"/>
      <c r="P59" s="250"/>
      <c r="Q59" s="250"/>
      <c r="R59" s="250"/>
      <c r="S59" s="250"/>
      <c r="T59" s="250"/>
      <c r="U59" s="250"/>
      <c r="V59" s="250"/>
      <c r="W59" s="250"/>
    </row>
    <row r="60" spans="1:23" hidden="1">
      <c r="A60" s="250"/>
      <c r="B60" s="558" t="s">
        <v>308</v>
      </c>
      <c r="C60" s="280">
        <v>4</v>
      </c>
      <c r="D60" s="280">
        <v>9.1999999999999993</v>
      </c>
      <c r="E60" s="280" t="e">
        <f>E27-E28</f>
        <v>#VALUE!</v>
      </c>
      <c r="F60" s="280" t="e">
        <f t="shared" ref="F60:K60" si="0">F27-F28</f>
        <v>#VALUE!</v>
      </c>
      <c r="G60" s="280" t="e">
        <f t="shared" si="0"/>
        <v>#VALUE!</v>
      </c>
      <c r="H60" s="280" t="e">
        <f t="shared" si="0"/>
        <v>#VALUE!</v>
      </c>
      <c r="I60" s="280">
        <f t="shared" si="0"/>
        <v>0</v>
      </c>
      <c r="J60" s="280">
        <f t="shared" si="0"/>
        <v>0</v>
      </c>
      <c r="K60" s="280">
        <f t="shared" si="0"/>
        <v>0</v>
      </c>
      <c r="L60" s="264"/>
      <c r="M60" s="264"/>
      <c r="N60" s="250"/>
      <c r="O60" s="250"/>
      <c r="P60" s="250"/>
      <c r="Q60" s="250"/>
      <c r="R60" s="250"/>
      <c r="S60" s="250"/>
      <c r="T60" s="250"/>
      <c r="U60" s="250"/>
      <c r="V60" s="250"/>
      <c r="W60" s="250"/>
    </row>
    <row r="61" spans="1:23" hidden="1">
      <c r="A61" s="250"/>
      <c r="B61" s="264"/>
      <c r="C61" s="280"/>
      <c r="D61" s="280"/>
      <c r="E61" s="280"/>
      <c r="F61" s="281"/>
      <c r="G61" s="264"/>
      <c r="H61" s="264"/>
      <c r="I61" s="264"/>
      <c r="J61" s="264"/>
      <c r="K61" s="264"/>
      <c r="L61" s="264"/>
      <c r="M61" s="264"/>
      <c r="N61" s="250"/>
      <c r="O61" s="250"/>
      <c r="P61" s="250"/>
      <c r="Q61" s="250"/>
      <c r="R61" s="250"/>
      <c r="S61" s="250"/>
      <c r="T61" s="250"/>
      <c r="U61" s="250"/>
      <c r="V61" s="250"/>
      <c r="W61" s="250"/>
    </row>
    <row r="62" spans="1:23" hidden="1">
      <c r="A62" s="250"/>
      <c r="B62" s="265" t="s">
        <v>303</v>
      </c>
      <c r="C62" s="265" t="s">
        <v>161</v>
      </c>
      <c r="D62" s="265" t="s">
        <v>161</v>
      </c>
      <c r="E62" s="266" t="s">
        <v>162</v>
      </c>
      <c r="F62" s="267"/>
      <c r="G62" s="282"/>
      <c r="H62" s="264"/>
      <c r="I62" s="264"/>
      <c r="J62" s="264"/>
      <c r="K62" s="264"/>
      <c r="L62" s="264"/>
      <c r="M62" s="264"/>
      <c r="N62" s="250"/>
      <c r="O62" s="250"/>
      <c r="P62" s="250"/>
      <c r="Q62" s="250"/>
      <c r="R62" s="250"/>
      <c r="S62" s="250"/>
      <c r="T62" s="250"/>
      <c r="U62" s="250"/>
      <c r="V62" s="250"/>
      <c r="W62" s="250"/>
    </row>
    <row r="63" spans="1:23" hidden="1">
      <c r="A63" s="250"/>
      <c r="B63" s="265" t="s">
        <v>133</v>
      </c>
      <c r="C63" s="265" t="s">
        <v>114</v>
      </c>
      <c r="D63" s="265" t="s">
        <v>114</v>
      </c>
      <c r="E63" s="266" t="s">
        <v>134</v>
      </c>
      <c r="F63" s="267"/>
      <c r="G63" s="282"/>
      <c r="H63" s="264"/>
      <c r="I63" s="264"/>
      <c r="J63" s="264"/>
      <c r="K63" s="264"/>
      <c r="L63" s="264"/>
      <c r="M63" s="264"/>
      <c r="N63" s="250"/>
      <c r="O63" s="250"/>
      <c r="P63" s="250"/>
      <c r="Q63" s="250"/>
      <c r="R63" s="250"/>
      <c r="S63" s="250"/>
      <c r="T63" s="250"/>
      <c r="U63" s="250"/>
      <c r="V63" s="250"/>
      <c r="W63" s="250"/>
    </row>
    <row r="64" spans="1:23" hidden="1">
      <c r="A64" s="250"/>
      <c r="B64" s="265" t="s">
        <v>19</v>
      </c>
      <c r="C64" s="265" t="s">
        <v>161</v>
      </c>
      <c r="D64" s="265" t="s">
        <v>161</v>
      </c>
      <c r="E64" s="266" t="s">
        <v>162</v>
      </c>
      <c r="F64" s="267"/>
      <c r="G64" s="282"/>
      <c r="H64" s="264"/>
      <c r="I64" s="264"/>
      <c r="J64" s="264"/>
      <c r="K64" s="264"/>
      <c r="L64" s="264"/>
      <c r="M64" s="264"/>
      <c r="N64" s="250"/>
      <c r="O64" s="250"/>
      <c r="P64" s="250"/>
      <c r="Q64" s="250"/>
      <c r="R64" s="250"/>
      <c r="S64" s="250"/>
      <c r="T64" s="250"/>
      <c r="U64" s="250"/>
      <c r="V64" s="250"/>
      <c r="W64" s="250"/>
    </row>
    <row r="65" spans="1:23" hidden="1">
      <c r="A65" s="250"/>
      <c r="B65" s="265" t="s">
        <v>142</v>
      </c>
      <c r="C65" s="265" t="s">
        <v>161</v>
      </c>
      <c r="D65" s="265" t="s">
        <v>161</v>
      </c>
      <c r="E65" s="266" t="s">
        <v>162</v>
      </c>
      <c r="F65" s="267"/>
      <c r="G65" s="282"/>
      <c r="H65" s="264"/>
      <c r="I65" s="264"/>
      <c r="J65" s="264"/>
      <c r="K65" s="264"/>
      <c r="L65" s="264"/>
      <c r="M65" s="264"/>
      <c r="N65" s="250"/>
      <c r="O65" s="250"/>
      <c r="P65" s="250"/>
      <c r="Q65" s="250"/>
      <c r="R65" s="250"/>
      <c r="S65" s="250"/>
      <c r="T65" s="250"/>
      <c r="U65" s="250"/>
      <c r="V65" s="250"/>
      <c r="W65" s="250"/>
    </row>
    <row r="66" spans="1:23" hidden="1">
      <c r="A66" s="250"/>
      <c r="B66" s="265" t="s">
        <v>147</v>
      </c>
      <c r="C66" s="265" t="s">
        <v>161</v>
      </c>
      <c r="D66" s="265" t="s">
        <v>161</v>
      </c>
      <c r="E66" s="266" t="s">
        <v>162</v>
      </c>
      <c r="F66" s="267"/>
      <c r="G66" s="282"/>
      <c r="H66" s="264"/>
      <c r="I66" s="264"/>
      <c r="J66" s="264"/>
      <c r="K66" s="264"/>
      <c r="L66" s="264"/>
      <c r="M66" s="264"/>
      <c r="N66" s="250"/>
      <c r="O66" s="250"/>
      <c r="P66" s="250"/>
      <c r="Q66" s="250"/>
      <c r="R66" s="250"/>
      <c r="S66" s="250"/>
      <c r="T66" s="250"/>
      <c r="U66" s="250"/>
      <c r="V66" s="250"/>
      <c r="W66" s="250"/>
    </row>
    <row r="67" spans="1:23" hidden="1">
      <c r="A67" s="250"/>
      <c r="B67" s="265" t="s">
        <v>149</v>
      </c>
      <c r="C67" s="265" t="s">
        <v>161</v>
      </c>
      <c r="D67" s="265" t="s">
        <v>161</v>
      </c>
      <c r="E67" s="266" t="s">
        <v>162</v>
      </c>
      <c r="F67" s="267"/>
      <c r="G67" s="282"/>
      <c r="H67" s="264"/>
      <c r="I67" s="264"/>
      <c r="J67" s="264"/>
      <c r="K67" s="264"/>
      <c r="L67" s="264"/>
      <c r="M67" s="264"/>
      <c r="N67" s="250"/>
      <c r="O67" s="250"/>
      <c r="P67" s="250"/>
      <c r="Q67" s="250"/>
      <c r="R67" s="250"/>
      <c r="S67" s="250"/>
      <c r="T67" s="250"/>
      <c r="U67" s="250"/>
      <c r="V67" s="250"/>
      <c r="W67" s="250"/>
    </row>
    <row r="68" spans="1:23" hidden="1">
      <c r="A68" s="250"/>
      <c r="B68" s="265" t="s">
        <v>149</v>
      </c>
      <c r="C68" s="265" t="s">
        <v>161</v>
      </c>
      <c r="D68" s="265" t="s">
        <v>161</v>
      </c>
      <c r="E68" s="266" t="s">
        <v>162</v>
      </c>
      <c r="F68" s="267"/>
      <c r="G68" s="282"/>
      <c r="H68" s="264"/>
      <c r="I68" s="264"/>
      <c r="J68" s="264"/>
      <c r="K68" s="264"/>
      <c r="L68" s="264"/>
      <c r="M68" s="264"/>
      <c r="N68" s="250"/>
      <c r="O68" s="250"/>
      <c r="P68" s="250"/>
      <c r="Q68" s="250"/>
      <c r="R68" s="250"/>
      <c r="S68" s="250"/>
      <c r="T68" s="250"/>
      <c r="U68" s="250"/>
      <c r="V68" s="250"/>
      <c r="W68" s="250"/>
    </row>
    <row r="69" spans="1:23">
      <c r="A69" s="250"/>
      <c r="B69" s="265" t="s">
        <v>309</v>
      </c>
      <c r="C69" s="542">
        <v>0.28999999999999998</v>
      </c>
      <c r="D69" s="265" t="s">
        <v>161</v>
      </c>
      <c r="E69" s="545">
        <f>$C$69*E9</f>
        <v>0</v>
      </c>
      <c r="F69" s="548">
        <f t="shared" ref="F69:K69" si="1">$C$69*F9</f>
        <v>0</v>
      </c>
      <c r="G69" s="548">
        <f t="shared" si="1"/>
        <v>0</v>
      </c>
      <c r="H69" s="545" t="e">
        <f t="shared" si="1"/>
        <v>#VALUE!</v>
      </c>
      <c r="I69" s="550">
        <f t="shared" si="1"/>
        <v>0</v>
      </c>
      <c r="J69" s="545">
        <f t="shared" si="1"/>
        <v>0</v>
      </c>
      <c r="K69" s="550">
        <f t="shared" si="1"/>
        <v>0</v>
      </c>
      <c r="L69" s="264"/>
      <c r="M69" s="264"/>
      <c r="N69" s="250"/>
      <c r="O69" s="250"/>
      <c r="P69" s="250"/>
      <c r="Q69" s="250"/>
      <c r="R69" s="250"/>
      <c r="S69" s="250"/>
      <c r="T69" s="250"/>
      <c r="U69" s="250"/>
      <c r="V69" s="250"/>
      <c r="W69" s="250"/>
    </row>
    <row r="70" spans="1:23">
      <c r="A70" s="250"/>
      <c r="B70" s="265"/>
      <c r="C70" s="542"/>
      <c r="D70" s="265"/>
      <c r="E70" s="545" t="e">
        <f>$C$69*E63</f>
        <v>#VALUE!</v>
      </c>
      <c r="F70" s="548">
        <f>$C$69*F63</f>
        <v>0</v>
      </c>
      <c r="G70" s="548">
        <f t="shared" ref="G70:L70" si="2">$C$69*G63</f>
        <v>0</v>
      </c>
      <c r="H70" s="545">
        <f t="shared" si="2"/>
        <v>0</v>
      </c>
      <c r="I70" s="550">
        <f t="shared" si="2"/>
        <v>0</v>
      </c>
      <c r="J70" s="545">
        <f t="shared" si="2"/>
        <v>0</v>
      </c>
      <c r="K70" s="550">
        <f t="shared" si="2"/>
        <v>0</v>
      </c>
      <c r="L70" s="545">
        <f t="shared" si="2"/>
        <v>0</v>
      </c>
      <c r="M70" s="264"/>
      <c r="N70" s="250"/>
      <c r="O70" s="250"/>
      <c r="P70" s="250"/>
      <c r="Q70" s="250"/>
      <c r="R70" s="250"/>
      <c r="S70" s="250"/>
      <c r="T70" s="250"/>
      <c r="U70" s="250"/>
      <c r="V70" s="250"/>
      <c r="W70" s="250"/>
    </row>
    <row r="71" spans="1:23">
      <c r="A71" s="250"/>
      <c r="B71" s="265"/>
      <c r="C71" s="542"/>
      <c r="D71" s="265"/>
      <c r="E71" s="545"/>
      <c r="F71" s="548"/>
      <c r="G71" s="548"/>
      <c r="H71" s="552"/>
      <c r="I71" s="553"/>
      <c r="J71" s="552"/>
      <c r="K71" s="553"/>
      <c r="L71" s="264"/>
      <c r="M71" s="264"/>
      <c r="N71" s="250"/>
      <c r="O71" s="250"/>
      <c r="P71" s="250"/>
      <c r="Q71" s="250"/>
      <c r="R71" s="250"/>
      <c r="S71" s="250"/>
      <c r="T71" s="250"/>
      <c r="U71" s="250"/>
      <c r="V71" s="250"/>
      <c r="W71" s="250"/>
    </row>
    <row r="72" spans="1:23" s="425" customFormat="1">
      <c r="A72" s="405" t="s">
        <v>21</v>
      </c>
      <c r="B72" s="265" t="s">
        <v>149</v>
      </c>
      <c r="C72" s="265" t="s">
        <v>161</v>
      </c>
      <c r="D72" s="265" t="s">
        <v>161</v>
      </c>
      <c r="E72" s="266" t="s">
        <v>162</v>
      </c>
      <c r="F72" s="267"/>
      <c r="G72" s="282"/>
      <c r="H72" s="264"/>
      <c r="I72" s="264"/>
      <c r="J72" s="264"/>
      <c r="K72" s="264"/>
      <c r="L72" s="264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</row>
    <row r="73" spans="1:23" s="425" customFormat="1">
      <c r="A73" s="232"/>
      <c r="B73" s="577" t="s">
        <v>50</v>
      </c>
      <c r="C73" s="578">
        <v>3.29</v>
      </c>
      <c r="D73" s="578">
        <v>6.75</v>
      </c>
      <c r="E73" s="579">
        <v>43281</v>
      </c>
      <c r="F73" s="580">
        <v>5.4699999999999999E-2</v>
      </c>
      <c r="G73" s="412">
        <f>F73-4.17%</f>
        <v>1.2999999999999998E-2</v>
      </c>
      <c r="H73" s="413">
        <f>G73+5.26%</f>
        <v>6.5599999999999992E-2</v>
      </c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</row>
    <row r="74" spans="1:23">
      <c r="A74" s="250"/>
      <c r="B74" s="569" t="s">
        <v>147</v>
      </c>
      <c r="C74" s="570">
        <v>2.2400000000000002</v>
      </c>
      <c r="D74" s="570">
        <v>6.75</v>
      </c>
      <c r="E74" s="571">
        <v>43083</v>
      </c>
      <c r="F74" s="572">
        <v>6.480000000000001E-2</v>
      </c>
      <c r="G74" s="264"/>
      <c r="H74" s="264"/>
      <c r="I74" s="250"/>
      <c r="J74" s="250"/>
      <c r="K74" s="250"/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</row>
    <row r="75" spans="1:23">
      <c r="A75" s="250"/>
      <c r="B75" s="569" t="s">
        <v>51</v>
      </c>
      <c r="C75" s="570">
        <v>4</v>
      </c>
      <c r="D75" s="570">
        <v>5.7</v>
      </c>
      <c r="E75" s="571">
        <v>41348</v>
      </c>
      <c r="F75" s="572">
        <v>6.7000000000000004E-2</v>
      </c>
      <c r="G75" s="264"/>
      <c r="H75" s="264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</row>
    <row r="76" spans="1:23">
      <c r="A76" s="250"/>
      <c r="B76" s="569" t="s">
        <v>121</v>
      </c>
      <c r="C76" s="570">
        <v>2.4</v>
      </c>
      <c r="D76" s="570">
        <v>6.88</v>
      </c>
      <c r="E76" s="571">
        <v>43223</v>
      </c>
      <c r="F76" s="572">
        <v>7.0000000000000007E-2</v>
      </c>
      <c r="G76" s="264"/>
      <c r="H76" s="264"/>
      <c r="I76" s="250"/>
      <c r="J76" s="250"/>
      <c r="K76" s="250"/>
      <c r="L76" s="250"/>
      <c r="M76" s="250"/>
      <c r="N76" s="250"/>
      <c r="O76" s="250"/>
      <c r="P76" s="250"/>
      <c r="Q76" s="250"/>
      <c r="R76" s="250"/>
      <c r="S76" s="250"/>
      <c r="T76" s="250"/>
      <c r="U76" s="250"/>
      <c r="V76" s="250"/>
      <c r="W76" s="250"/>
    </row>
    <row r="77" spans="1:23">
      <c r="A77" s="250"/>
      <c r="B77" s="569" t="s">
        <v>139</v>
      </c>
      <c r="C77" s="570">
        <v>3.44</v>
      </c>
      <c r="D77" s="570">
        <v>6.75</v>
      </c>
      <c r="E77" s="571">
        <v>42535</v>
      </c>
      <c r="F77" s="572">
        <v>7.0999999999999994E-2</v>
      </c>
      <c r="G77" s="264"/>
      <c r="H77" s="264"/>
      <c r="I77" s="250"/>
      <c r="J77" s="250"/>
      <c r="K77" s="250"/>
      <c r="L77" s="250"/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</row>
    <row r="78" spans="1:23">
      <c r="A78" s="250"/>
      <c r="B78" s="577" t="s">
        <v>119</v>
      </c>
      <c r="C78" s="578">
        <v>3.47</v>
      </c>
      <c r="D78" s="578">
        <v>6.69</v>
      </c>
      <c r="E78" s="579">
        <v>43466</v>
      </c>
      <c r="F78" s="580">
        <v>6.8900000000000003E-2</v>
      </c>
      <c r="G78" s="264"/>
      <c r="H78" s="264"/>
      <c r="I78" s="250"/>
      <c r="J78" s="250"/>
      <c r="K78" s="250"/>
      <c r="L78" s="250"/>
      <c r="M78" s="250"/>
      <c r="N78" s="250"/>
      <c r="O78" s="250"/>
      <c r="P78" s="250"/>
      <c r="Q78" s="250"/>
      <c r="R78" s="250"/>
      <c r="S78" s="250"/>
      <c r="T78" s="250"/>
      <c r="U78" s="250"/>
      <c r="V78" s="250"/>
      <c r="W78" s="250"/>
    </row>
    <row r="79" spans="1:23">
      <c r="A79" s="250"/>
      <c r="B79" s="569" t="s">
        <v>149</v>
      </c>
      <c r="C79" s="570">
        <v>4.16</v>
      </c>
      <c r="D79" s="570">
        <v>6.8</v>
      </c>
      <c r="E79" s="571">
        <v>42627</v>
      </c>
      <c r="F79" s="572">
        <v>7.2999999999999995E-2</v>
      </c>
      <c r="G79" s="264"/>
      <c r="H79" s="264"/>
      <c r="I79" s="250"/>
      <c r="J79" s="250"/>
      <c r="K79" s="250"/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</row>
    <row r="80" spans="1:23">
      <c r="A80" s="250"/>
      <c r="B80" s="569" t="s">
        <v>18</v>
      </c>
      <c r="C80" s="570">
        <v>4.9000000000000004</v>
      </c>
      <c r="D80" s="570">
        <v>6.2</v>
      </c>
      <c r="E80" s="571">
        <v>42920</v>
      </c>
      <c r="F80" s="572">
        <v>7.5999999999999998E-2</v>
      </c>
      <c r="G80" s="264"/>
      <c r="H80" s="264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</row>
    <row r="81" spans="1:23">
      <c r="A81" s="250"/>
      <c r="B81" s="569" t="s">
        <v>20</v>
      </c>
      <c r="C81" s="570">
        <v>4.32</v>
      </c>
      <c r="D81" s="570">
        <v>7</v>
      </c>
      <c r="E81" s="571">
        <v>43272</v>
      </c>
      <c r="F81" s="572">
        <v>7.6299999999999993E-2</v>
      </c>
      <c r="G81" s="264"/>
      <c r="H81" s="264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</row>
    <row r="82" spans="1:23">
      <c r="A82" s="250"/>
      <c r="B82" s="271" t="s">
        <v>202</v>
      </c>
      <c r="C82" s="272"/>
      <c r="D82" s="272"/>
      <c r="E82" s="283">
        <f>$E$37</f>
        <v>43356</v>
      </c>
      <c r="F82" s="273">
        <f>'WACC BIPT 2019'!$K$31</f>
        <v>8.3529076675368547E-2</v>
      </c>
      <c r="G82" s="264"/>
      <c r="H82" s="264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</row>
    <row r="83" spans="1:23">
      <c r="A83" s="250"/>
      <c r="B83" s="569" t="s">
        <v>201</v>
      </c>
      <c r="C83" s="570">
        <v>4.45</v>
      </c>
      <c r="D83" s="570">
        <v>7.35</v>
      </c>
      <c r="E83" s="571">
        <v>42061</v>
      </c>
      <c r="F83" s="572">
        <v>8.1300000000000011E-2</v>
      </c>
      <c r="G83" s="264"/>
      <c r="H83" s="264"/>
      <c r="I83" s="250"/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</row>
    <row r="84" spans="1:23">
      <c r="A84" s="250"/>
      <c r="B84" s="569" t="s">
        <v>19</v>
      </c>
      <c r="C84" s="570">
        <v>5.08</v>
      </c>
      <c r="D84" s="570">
        <v>8.27</v>
      </c>
      <c r="E84" s="571">
        <v>41991</v>
      </c>
      <c r="F84" s="572">
        <v>8.6300000000000002E-2</v>
      </c>
      <c r="G84" s="264"/>
      <c r="H84" s="264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</row>
    <row r="85" spans="1:23">
      <c r="A85" s="250"/>
      <c r="B85" s="569" t="s">
        <v>142</v>
      </c>
      <c r="C85" s="570" t="s">
        <v>198</v>
      </c>
      <c r="D85" s="570" t="s">
        <v>198</v>
      </c>
      <c r="E85" s="571">
        <v>43066</v>
      </c>
      <c r="F85" s="572">
        <v>9.0999999999999998E-2</v>
      </c>
      <c r="G85" s="264"/>
      <c r="H85" s="264"/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</row>
    <row r="86" spans="1:23">
      <c r="A86" s="250"/>
      <c r="B86" s="569" t="s">
        <v>137</v>
      </c>
      <c r="C86" s="570">
        <v>7.93</v>
      </c>
      <c r="D86" s="570">
        <v>6.97</v>
      </c>
      <c r="E86" s="571">
        <v>42277</v>
      </c>
      <c r="F86" s="572">
        <v>0.10249999999999999</v>
      </c>
      <c r="G86" s="264"/>
      <c r="H86" s="264"/>
      <c r="I86" s="250"/>
      <c r="J86" s="250"/>
      <c r="K86" s="250"/>
      <c r="L86" s="250"/>
      <c r="M86" s="250"/>
      <c r="N86" s="250"/>
      <c r="O86" s="250"/>
      <c r="P86" s="250"/>
      <c r="Q86" s="250"/>
      <c r="R86" s="250"/>
      <c r="S86" s="250"/>
      <c r="T86" s="250"/>
      <c r="U86" s="250"/>
      <c r="V86" s="250"/>
      <c r="W86" s="250"/>
    </row>
    <row r="87" spans="1:23">
      <c r="A87" s="250"/>
      <c r="B87" s="569" t="s">
        <v>47</v>
      </c>
      <c r="C87" s="570" t="s">
        <v>198</v>
      </c>
      <c r="D87" s="570" t="s">
        <v>198</v>
      </c>
      <c r="E87" s="571">
        <v>41547</v>
      </c>
      <c r="F87" s="572">
        <v>0.1137</v>
      </c>
      <c r="G87" s="264"/>
      <c r="H87" s="264"/>
      <c r="I87" s="250"/>
      <c r="J87" s="250"/>
      <c r="K87" s="250"/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</row>
    <row r="88" spans="1:23">
      <c r="A88" s="250"/>
      <c r="B88" s="569" t="s">
        <v>133</v>
      </c>
      <c r="C88" s="570" t="s">
        <v>198</v>
      </c>
      <c r="D88" s="570" t="s">
        <v>198</v>
      </c>
      <c r="E88" s="571">
        <v>41244</v>
      </c>
      <c r="F88" s="572">
        <v>0.1429</v>
      </c>
      <c r="G88" s="264"/>
      <c r="H88" s="264"/>
      <c r="I88" s="250"/>
      <c r="J88" s="250"/>
      <c r="K88" s="250"/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</row>
    <row r="89" spans="1:23">
      <c r="A89" s="250"/>
      <c r="B89" s="264"/>
      <c r="C89" s="264"/>
      <c r="D89" s="264"/>
      <c r="E89" s="264"/>
      <c r="F89" s="264"/>
      <c r="G89" s="264"/>
      <c r="H89" s="264"/>
      <c r="I89" s="250"/>
      <c r="J89" s="250"/>
      <c r="K89" s="250"/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</row>
    <row r="90" spans="1:23">
      <c r="A90" s="250"/>
      <c r="B90" s="569" t="s">
        <v>52</v>
      </c>
      <c r="C90" s="570" t="s">
        <v>191</v>
      </c>
      <c r="D90" s="570" t="s">
        <v>192</v>
      </c>
      <c r="E90" s="571">
        <v>43186</v>
      </c>
      <c r="F90" s="570" t="s">
        <v>244</v>
      </c>
      <c r="G90" s="264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0"/>
      <c r="S90" s="250"/>
      <c r="T90" s="250"/>
      <c r="U90" s="250"/>
      <c r="V90" s="250"/>
      <c r="W90" s="250"/>
    </row>
    <row r="91" spans="1:23">
      <c r="A91" s="250"/>
      <c r="B91" s="569" t="s">
        <v>152</v>
      </c>
      <c r="C91" s="569" t="s">
        <v>161</v>
      </c>
      <c r="D91" s="569" t="s">
        <v>161</v>
      </c>
      <c r="E91" s="570" t="s">
        <v>245</v>
      </c>
      <c r="F91" s="571"/>
      <c r="G91" s="264"/>
      <c r="H91" s="264"/>
      <c r="I91" s="280"/>
      <c r="J91" s="250"/>
      <c r="K91" s="250"/>
      <c r="L91" s="250"/>
      <c r="M91" s="264"/>
      <c r="N91" s="250"/>
      <c r="O91" s="250"/>
      <c r="P91" s="250"/>
      <c r="Q91" s="250"/>
      <c r="R91" s="250"/>
      <c r="S91" s="250"/>
      <c r="T91" s="250"/>
      <c r="U91" s="250"/>
      <c r="V91" s="250"/>
      <c r="W91" s="250"/>
    </row>
    <row r="92" spans="1:23">
      <c r="A92" s="250"/>
      <c r="B92" s="250"/>
      <c r="C92" s="250"/>
      <c r="D92" s="250"/>
      <c r="E92" s="250"/>
      <c r="F92" s="250"/>
      <c r="G92" s="250"/>
      <c r="H92" s="250"/>
      <c r="I92" s="280"/>
      <c r="J92" s="250"/>
      <c r="K92" s="250"/>
      <c r="L92" s="250"/>
      <c r="M92" s="264"/>
      <c r="N92" s="250"/>
      <c r="O92" s="250"/>
      <c r="P92" s="250"/>
      <c r="Q92" s="250"/>
      <c r="R92" s="250"/>
      <c r="S92" s="250"/>
      <c r="T92" s="250"/>
      <c r="U92" s="250"/>
      <c r="V92" s="250"/>
      <c r="W92" s="250"/>
    </row>
    <row r="93" spans="1:23">
      <c r="A93" s="250"/>
      <c r="B93" s="250"/>
      <c r="C93" s="250"/>
      <c r="D93" s="250"/>
      <c r="E93" s="250"/>
      <c r="F93" s="250"/>
      <c r="G93" s="250"/>
      <c r="H93" s="250"/>
      <c r="I93" s="280"/>
      <c r="J93" s="264"/>
      <c r="K93" s="264"/>
      <c r="L93" s="264"/>
      <c r="M93" s="264"/>
      <c r="N93" s="250"/>
      <c r="O93" s="250"/>
      <c r="P93" s="250"/>
      <c r="Q93" s="250"/>
      <c r="R93" s="250"/>
      <c r="S93" s="250"/>
      <c r="T93" s="250"/>
      <c r="U93" s="250"/>
      <c r="V93" s="250"/>
      <c r="W93" s="250"/>
    </row>
    <row r="94" spans="1:23">
      <c r="A94" s="405"/>
      <c r="B94" s="284" t="s">
        <v>247</v>
      </c>
      <c r="C94" s="251"/>
      <c r="D94" s="251"/>
      <c r="E94" s="251"/>
      <c r="F94" s="254"/>
      <c r="G94" s="250"/>
      <c r="H94" s="250"/>
      <c r="I94" s="250"/>
      <c r="J94" s="284" t="s">
        <v>248</v>
      </c>
      <c r="K94" s="250"/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</row>
    <row r="95" spans="1:23">
      <c r="A95" s="250"/>
      <c r="B95" s="250"/>
      <c r="C95" s="251"/>
      <c r="D95" s="251"/>
      <c r="E95" s="251"/>
      <c r="F95" s="254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</row>
    <row r="96" spans="1:23">
      <c r="A96" s="250"/>
      <c r="B96" s="395" t="s">
        <v>246</v>
      </c>
      <c r="C96" s="395" t="s">
        <v>60</v>
      </c>
      <c r="D96" s="251"/>
      <c r="E96" s="251"/>
      <c r="F96" s="254"/>
      <c r="G96" s="250"/>
      <c r="H96" s="250"/>
      <c r="I96" s="250"/>
      <c r="J96" s="395" t="s">
        <v>15</v>
      </c>
      <c r="K96" s="395" t="s">
        <v>60</v>
      </c>
      <c r="L96" s="392" t="s">
        <v>48</v>
      </c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</row>
    <row r="97" spans="1:23">
      <c r="A97" s="250"/>
      <c r="B97" s="575" t="s">
        <v>317</v>
      </c>
      <c r="C97" s="576">
        <v>5.4699999999999999E-2</v>
      </c>
      <c r="D97" s="251"/>
      <c r="E97" s="251"/>
      <c r="F97" s="254"/>
      <c r="G97" s="250"/>
      <c r="H97" s="250"/>
      <c r="I97" s="250"/>
      <c r="J97" s="252" t="s">
        <v>212</v>
      </c>
      <c r="K97" s="398">
        <v>6.7000000000000004E-2</v>
      </c>
      <c r="L97" s="406">
        <v>41348</v>
      </c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</row>
    <row r="98" spans="1:23">
      <c r="A98" s="250"/>
      <c r="B98" s="573" t="s">
        <v>211</v>
      </c>
      <c r="C98" s="574">
        <v>6.480000000000001E-2</v>
      </c>
      <c r="D98" s="251"/>
      <c r="E98" s="251"/>
      <c r="F98" s="254"/>
      <c r="G98" s="250"/>
      <c r="H98" s="250"/>
      <c r="I98" s="250"/>
      <c r="J98" s="252" t="s">
        <v>223</v>
      </c>
      <c r="K98" s="398">
        <v>0.1137</v>
      </c>
      <c r="L98" s="406">
        <v>41547</v>
      </c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</row>
    <row r="99" spans="1:23">
      <c r="A99" s="250"/>
      <c r="B99" s="573" t="s">
        <v>212</v>
      </c>
      <c r="C99" s="574">
        <v>6.7000000000000004E-2</v>
      </c>
      <c r="D99" s="251"/>
      <c r="E99" s="251"/>
      <c r="F99" s="254"/>
      <c r="G99" s="250"/>
      <c r="H99" s="250"/>
      <c r="I99" s="250"/>
      <c r="J99" s="252" t="s">
        <v>220</v>
      </c>
      <c r="K99" s="398">
        <v>8.6300000000000002E-2</v>
      </c>
      <c r="L99" s="406">
        <v>41991</v>
      </c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</row>
    <row r="100" spans="1:23">
      <c r="A100" s="250"/>
      <c r="B100" s="575" t="s">
        <v>316</v>
      </c>
      <c r="C100" s="576">
        <f>F76</f>
        <v>7.0000000000000007E-2</v>
      </c>
      <c r="D100" s="251"/>
      <c r="E100" s="251"/>
      <c r="F100" s="254"/>
      <c r="G100" s="250"/>
      <c r="H100" s="250"/>
      <c r="I100" s="250"/>
      <c r="J100" s="252" t="s">
        <v>210</v>
      </c>
      <c r="K100" s="398">
        <v>8.1300000000000011E-2</v>
      </c>
      <c r="L100" s="406">
        <v>42061</v>
      </c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</row>
    <row r="101" spans="1:23">
      <c r="A101" s="250"/>
      <c r="B101" s="573" t="s">
        <v>214</v>
      </c>
      <c r="C101" s="574">
        <v>7.0000000000000007E-2</v>
      </c>
      <c r="D101" s="251"/>
      <c r="E101" s="251"/>
      <c r="F101" s="254"/>
      <c r="G101" s="250"/>
      <c r="H101" s="250"/>
      <c r="I101" s="250"/>
      <c r="J101" s="252" t="s">
        <v>222</v>
      </c>
      <c r="K101" s="398">
        <v>0.10249999999999999</v>
      </c>
      <c r="L101" s="406">
        <v>42277</v>
      </c>
      <c r="M101" s="250"/>
      <c r="N101" s="250"/>
      <c r="O101" s="250"/>
      <c r="P101" s="250"/>
      <c r="Q101" s="250"/>
      <c r="R101" s="250"/>
      <c r="S101" s="250"/>
      <c r="T101" s="250"/>
      <c r="U101" s="250"/>
      <c r="V101" s="250"/>
      <c r="W101" s="250"/>
    </row>
    <row r="102" spans="1:23">
      <c r="A102" s="250"/>
      <c r="B102" s="573" t="s">
        <v>215</v>
      </c>
      <c r="C102" s="574">
        <v>7.0999999999999994E-2</v>
      </c>
      <c r="D102" s="251"/>
      <c r="E102" s="251"/>
      <c r="F102" s="254"/>
      <c r="G102" s="250"/>
      <c r="H102" s="250"/>
      <c r="I102" s="250"/>
      <c r="J102" s="252" t="s">
        <v>215</v>
      </c>
      <c r="K102" s="398">
        <v>7.0999999999999994E-2</v>
      </c>
      <c r="L102" s="406">
        <v>42535</v>
      </c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</row>
    <row r="103" spans="1:23">
      <c r="A103" s="250"/>
      <c r="B103" s="573" t="s">
        <v>217</v>
      </c>
      <c r="C103" s="574">
        <v>7.2999999999999995E-2</v>
      </c>
      <c r="D103" s="251"/>
      <c r="E103" s="251"/>
      <c r="F103" s="254"/>
      <c r="G103" s="250"/>
      <c r="H103" s="250"/>
      <c r="I103" s="250"/>
      <c r="J103" s="252" t="s">
        <v>217</v>
      </c>
      <c r="K103" s="398">
        <v>7.2999999999999995E-2</v>
      </c>
      <c r="L103" s="406">
        <v>42627</v>
      </c>
      <c r="M103" s="250"/>
      <c r="N103" s="250"/>
      <c r="O103" s="250"/>
      <c r="P103" s="250"/>
      <c r="Q103" s="250"/>
      <c r="R103" s="250"/>
      <c r="S103" s="250"/>
      <c r="T103" s="250"/>
      <c r="U103" s="250"/>
      <c r="V103" s="250"/>
      <c r="W103" s="250"/>
    </row>
    <row r="104" spans="1:23">
      <c r="A104" s="250"/>
      <c r="B104" s="573" t="s">
        <v>218</v>
      </c>
      <c r="C104" s="574">
        <v>7.5999999999999998E-2</v>
      </c>
      <c r="D104" s="251"/>
      <c r="E104" s="251"/>
      <c r="F104" s="254"/>
      <c r="G104" s="250"/>
      <c r="H104" s="250"/>
      <c r="I104" s="250"/>
      <c r="J104" s="252" t="s">
        <v>218</v>
      </c>
      <c r="K104" s="398">
        <v>7.5999999999999998E-2</v>
      </c>
      <c r="L104" s="406">
        <v>42920</v>
      </c>
      <c r="M104" s="250"/>
      <c r="N104" s="250"/>
      <c r="O104" s="250"/>
      <c r="P104" s="250"/>
      <c r="Q104" s="250"/>
      <c r="R104" s="250"/>
      <c r="S104" s="250"/>
      <c r="T104" s="250"/>
      <c r="U104" s="250"/>
      <c r="V104" s="250"/>
      <c r="W104" s="250"/>
    </row>
    <row r="105" spans="1:23">
      <c r="A105" s="250"/>
      <c r="B105" s="573" t="s">
        <v>219</v>
      </c>
      <c r="C105" s="574">
        <v>7.6299999999999993E-2</v>
      </c>
      <c r="D105" s="251"/>
      <c r="E105" s="251"/>
      <c r="F105" s="254"/>
      <c r="G105" s="250"/>
      <c r="H105" s="250"/>
      <c r="I105" s="250"/>
      <c r="J105" s="252" t="s">
        <v>221</v>
      </c>
      <c r="K105" s="398">
        <v>9.0999999999999998E-2</v>
      </c>
      <c r="L105" s="406">
        <v>43066</v>
      </c>
      <c r="M105" s="250"/>
      <c r="N105" s="250"/>
      <c r="O105" s="250"/>
      <c r="P105" s="250"/>
      <c r="Q105" s="250"/>
      <c r="R105" s="250"/>
      <c r="S105" s="250"/>
      <c r="T105" s="250"/>
      <c r="U105" s="250"/>
      <c r="V105" s="250"/>
      <c r="W105" s="250"/>
    </row>
    <row r="106" spans="1:23">
      <c r="A106" s="250"/>
      <c r="B106" s="573" t="s">
        <v>210</v>
      </c>
      <c r="C106" s="574">
        <v>8.1300000000000011E-2</v>
      </c>
      <c r="D106" s="251"/>
      <c r="E106" s="251"/>
      <c r="F106" s="254"/>
      <c r="G106" s="250"/>
      <c r="H106" s="250"/>
      <c r="I106" s="250"/>
      <c r="J106" s="252" t="s">
        <v>211</v>
      </c>
      <c r="K106" s="398">
        <v>6.480000000000001E-2</v>
      </c>
      <c r="L106" s="406">
        <v>43083</v>
      </c>
      <c r="M106" s="250"/>
      <c r="N106" s="250"/>
      <c r="O106" s="250"/>
      <c r="P106" s="250"/>
      <c r="Q106" s="250"/>
      <c r="R106" s="250"/>
      <c r="S106" s="250"/>
      <c r="T106" s="250"/>
      <c r="U106" s="250"/>
      <c r="V106" s="250"/>
      <c r="W106" s="250"/>
    </row>
    <row r="107" spans="1:23">
      <c r="A107" s="250"/>
      <c r="B107" s="394" t="s">
        <v>318</v>
      </c>
      <c r="C107" s="403">
        <f>'WACC BIPT 2019'!$K$31</f>
        <v>8.3529076675368547E-2</v>
      </c>
      <c r="D107" s="251"/>
      <c r="E107" s="251"/>
      <c r="F107" s="254"/>
      <c r="G107" s="250"/>
      <c r="H107" s="250"/>
      <c r="I107" s="250"/>
      <c r="J107" s="252" t="s">
        <v>214</v>
      </c>
      <c r="K107" s="398">
        <v>7.0000000000000007E-2</v>
      </c>
      <c r="L107" s="406">
        <v>43223</v>
      </c>
      <c r="M107" s="250"/>
      <c r="N107" s="250"/>
      <c r="O107" s="250"/>
      <c r="P107" s="250"/>
      <c r="Q107" s="250"/>
      <c r="R107" s="250"/>
      <c r="S107" s="250"/>
      <c r="T107" s="250"/>
      <c r="U107" s="250"/>
      <c r="V107" s="250"/>
      <c r="W107" s="250"/>
    </row>
    <row r="108" spans="1:23">
      <c r="A108" s="250"/>
      <c r="B108" s="573" t="s">
        <v>220</v>
      </c>
      <c r="C108" s="574">
        <v>8.6300000000000002E-2</v>
      </c>
      <c r="D108" s="251"/>
      <c r="E108" s="251"/>
      <c r="F108" s="254"/>
      <c r="G108" s="250"/>
      <c r="H108" s="250"/>
      <c r="I108" s="250"/>
      <c r="J108" s="252" t="s">
        <v>219</v>
      </c>
      <c r="K108" s="398">
        <v>7.6299999999999993E-2</v>
      </c>
      <c r="L108" s="406">
        <v>43272</v>
      </c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</row>
    <row r="109" spans="1:23">
      <c r="A109" s="250"/>
      <c r="B109" s="573" t="s">
        <v>221</v>
      </c>
      <c r="C109" s="574">
        <v>9.0999999999999998E-2</v>
      </c>
      <c r="D109" s="251"/>
      <c r="E109" s="251"/>
      <c r="F109" s="254"/>
      <c r="G109" s="250"/>
      <c r="H109" s="250"/>
      <c r="I109" s="250"/>
      <c r="J109" s="575" t="s">
        <v>317</v>
      </c>
      <c r="K109" s="576">
        <v>5.4699999999999999E-2</v>
      </c>
      <c r="L109" s="584">
        <v>43281</v>
      </c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</row>
    <row r="110" spans="1:23">
      <c r="A110" s="250"/>
      <c r="B110" s="573" t="s">
        <v>222</v>
      </c>
      <c r="C110" s="574">
        <v>0.10249999999999999</v>
      </c>
      <c r="D110" s="251"/>
      <c r="E110" s="251"/>
      <c r="F110" s="254"/>
      <c r="G110" s="250"/>
      <c r="H110" s="250"/>
      <c r="I110" s="250"/>
      <c r="J110" s="575" t="s">
        <v>316</v>
      </c>
      <c r="K110" s="576">
        <f>C105</f>
        <v>7.6299999999999993E-2</v>
      </c>
      <c r="L110" s="584">
        <v>43466</v>
      </c>
      <c r="M110" s="250"/>
      <c r="N110" s="250"/>
      <c r="O110" s="250"/>
      <c r="P110" s="250"/>
      <c r="Q110" s="250"/>
      <c r="R110" s="250"/>
      <c r="S110" s="250"/>
      <c r="T110" s="250"/>
      <c r="U110" s="250"/>
      <c r="V110" s="250"/>
      <c r="W110" s="250"/>
    </row>
    <row r="111" spans="1:23">
      <c r="A111" s="250"/>
      <c r="B111" s="573" t="s">
        <v>223</v>
      </c>
      <c r="C111" s="574">
        <v>0.1137</v>
      </c>
      <c r="D111" s="251"/>
      <c r="E111" s="251"/>
      <c r="F111" s="254"/>
      <c r="G111" s="250"/>
      <c r="H111" s="250"/>
      <c r="I111" s="250"/>
      <c r="J111" s="260" t="s">
        <v>318</v>
      </c>
      <c r="K111" s="403">
        <f>'WACC BIPT 2019'!$K$31</f>
        <v>8.3529076675368547E-2</v>
      </c>
      <c r="L111" s="407">
        <v>43497</v>
      </c>
      <c r="M111" s="250"/>
      <c r="N111" s="250"/>
      <c r="O111" s="250"/>
      <c r="P111" s="250"/>
      <c r="Q111" s="250"/>
      <c r="R111" s="250"/>
      <c r="S111" s="250"/>
      <c r="T111" s="250"/>
      <c r="U111" s="250"/>
      <c r="V111" s="250"/>
      <c r="W111" s="250"/>
    </row>
    <row r="112" spans="1:23">
      <c r="A112" s="250"/>
      <c r="B112" s="582" t="s">
        <v>224</v>
      </c>
      <c r="C112" s="583">
        <v>0.1429</v>
      </c>
      <c r="D112" s="251"/>
      <c r="E112" s="251"/>
      <c r="F112" s="254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  <c r="R112" s="250"/>
      <c r="S112" s="250"/>
      <c r="T112" s="250"/>
      <c r="U112" s="250"/>
      <c r="V112" s="250"/>
      <c r="W112" s="250"/>
    </row>
    <row r="113" spans="1:23">
      <c r="A113" s="250"/>
      <c r="B113" s="250"/>
      <c r="C113" s="250"/>
      <c r="D113" s="250"/>
      <c r="E113" s="251"/>
      <c r="F113" s="254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  <c r="R113" s="250"/>
      <c r="S113" s="250"/>
      <c r="T113" s="250"/>
      <c r="U113" s="250"/>
      <c r="V113" s="250"/>
      <c r="W113" s="250"/>
    </row>
    <row r="114" spans="1:23">
      <c r="A114" s="250"/>
      <c r="B114" s="250"/>
      <c r="C114" s="250"/>
      <c r="D114" s="250"/>
      <c r="E114" s="251"/>
      <c r="F114" s="254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  <c r="R114" s="250"/>
      <c r="S114" s="250"/>
      <c r="T114" s="250"/>
      <c r="U114" s="250"/>
      <c r="V114" s="250"/>
      <c r="W114" s="250"/>
    </row>
    <row r="115" spans="1:23">
      <c r="A115" s="250"/>
      <c r="B115" s="250"/>
      <c r="C115" s="251"/>
      <c r="D115" s="251"/>
      <c r="E115" s="251"/>
      <c r="F115" s="254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  <c r="R115" s="250"/>
      <c r="S115" s="250"/>
      <c r="T115" s="250"/>
      <c r="U115" s="250"/>
      <c r="V115" s="250"/>
      <c r="W115" s="250"/>
    </row>
    <row r="116" spans="1:23">
      <c r="A116" s="250"/>
      <c r="B116" s="250"/>
      <c r="C116" s="250"/>
      <c r="D116" s="250"/>
      <c r="E116" s="250"/>
      <c r="F116" s="250"/>
      <c r="G116" s="250"/>
      <c r="H116" s="253"/>
      <c r="I116" s="250"/>
      <c r="J116" s="250"/>
      <c r="K116" s="250"/>
      <c r="L116" s="250"/>
      <c r="M116" s="250"/>
      <c r="N116" s="250"/>
      <c r="O116" s="250"/>
      <c r="P116" s="250"/>
      <c r="Q116" s="250"/>
      <c r="R116" s="250"/>
      <c r="S116" s="250"/>
      <c r="T116" s="250"/>
      <c r="U116" s="250"/>
      <c r="V116" s="250"/>
      <c r="W116" s="250"/>
    </row>
    <row r="117" spans="1:23">
      <c r="D117" s="414"/>
      <c r="E117" s="414"/>
      <c r="F117" s="414"/>
      <c r="G117" s="414"/>
      <c r="H117" s="420"/>
    </row>
    <row r="118" spans="1:23">
      <c r="A118" s="250"/>
      <c r="B118" s="250"/>
      <c r="C118" s="250"/>
      <c r="D118" s="250"/>
      <c r="E118" s="250"/>
      <c r="F118" s="250"/>
      <c r="G118" s="250"/>
      <c r="H118" s="290"/>
      <c r="I118" s="250"/>
      <c r="J118" s="250"/>
      <c r="K118" s="250"/>
      <c r="L118" s="250"/>
      <c r="M118" s="250"/>
      <c r="N118" s="250"/>
      <c r="O118" s="250"/>
      <c r="P118" s="250"/>
      <c r="Q118" s="250"/>
      <c r="R118" s="250"/>
      <c r="S118" s="250"/>
      <c r="T118" s="250"/>
      <c r="U118" s="250"/>
      <c r="V118" s="250"/>
      <c r="W118" s="250"/>
    </row>
    <row r="119" spans="1:23">
      <c r="A119" s="284" t="s">
        <v>40</v>
      </c>
      <c r="B119" s="395" t="s">
        <v>246</v>
      </c>
      <c r="C119" s="410" t="s">
        <v>204</v>
      </c>
      <c r="D119" s="391" t="s">
        <v>53</v>
      </c>
      <c r="E119" s="411" t="s">
        <v>232</v>
      </c>
      <c r="F119" s="411" t="s">
        <v>249</v>
      </c>
      <c r="G119" s="29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  <c r="R119" s="250"/>
      <c r="S119" s="250"/>
      <c r="T119" s="250"/>
      <c r="U119" s="250"/>
      <c r="V119" s="250"/>
      <c r="W119" s="250"/>
    </row>
    <row r="120" spans="1:23">
      <c r="A120" s="250"/>
      <c r="B120" s="573" t="s">
        <v>225</v>
      </c>
      <c r="C120" s="574">
        <v>4.4600000000000001E-2</v>
      </c>
      <c r="D120" s="574"/>
      <c r="E120" s="574"/>
      <c r="F120" s="574"/>
      <c r="G120" s="289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0"/>
      <c r="S120" s="250"/>
      <c r="T120" s="250"/>
      <c r="U120" s="250"/>
      <c r="V120" s="250"/>
      <c r="W120" s="250"/>
    </row>
    <row r="121" spans="1:23">
      <c r="A121" s="250"/>
      <c r="B121" s="573" t="s">
        <v>220</v>
      </c>
      <c r="C121" s="574">
        <v>8.1799999999999998E-2</v>
      </c>
      <c r="D121" s="574"/>
      <c r="E121" s="574"/>
      <c r="F121" s="574"/>
      <c r="G121" s="29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0"/>
      <c r="S121" s="250"/>
      <c r="T121" s="250"/>
      <c r="U121" s="250"/>
      <c r="V121" s="250"/>
      <c r="W121" s="250"/>
    </row>
    <row r="122" spans="1:23">
      <c r="A122" s="250"/>
      <c r="B122" s="573" t="s">
        <v>210</v>
      </c>
      <c r="C122" s="573"/>
      <c r="D122" s="581">
        <v>8.1300000000000011E-2</v>
      </c>
      <c r="E122" s="573"/>
      <c r="F122" s="574"/>
      <c r="G122" s="29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  <c r="R122" s="250"/>
      <c r="S122" s="250"/>
      <c r="T122" s="250"/>
      <c r="U122" s="250"/>
      <c r="V122" s="250"/>
      <c r="W122" s="250"/>
    </row>
    <row r="123" spans="1:23">
      <c r="A123" s="250"/>
      <c r="B123" s="573" t="s">
        <v>226</v>
      </c>
      <c r="C123" s="574">
        <v>6.0599999999999994E-2</v>
      </c>
      <c r="D123" s="574"/>
      <c r="E123" s="574">
        <f>E10-D10</f>
        <v>2.6100000000000005E-2</v>
      </c>
      <c r="F123" s="574"/>
      <c r="G123" s="289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  <c r="R123" s="250"/>
      <c r="S123" s="250"/>
      <c r="T123" s="250"/>
      <c r="U123" s="250"/>
      <c r="V123" s="250"/>
      <c r="W123" s="250"/>
    </row>
    <row r="124" spans="1:23">
      <c r="A124" s="250"/>
      <c r="B124" s="573" t="s">
        <v>231</v>
      </c>
      <c r="C124" s="574">
        <v>8.77E-2</v>
      </c>
      <c r="D124" s="574"/>
      <c r="E124" s="574">
        <f>E11-D11</f>
        <v>1.2000000000000011E-2</v>
      </c>
      <c r="F124" s="574">
        <f>F11-E11</f>
        <v>1.999999999999999E-2</v>
      </c>
      <c r="G124" s="29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  <c r="R124" s="250"/>
      <c r="S124" s="250"/>
      <c r="T124" s="250"/>
      <c r="U124" s="250"/>
      <c r="V124" s="250"/>
      <c r="W124" s="250"/>
    </row>
    <row r="125" spans="1:23">
      <c r="A125" s="250"/>
      <c r="B125" s="573" t="s">
        <v>215</v>
      </c>
      <c r="C125" s="574">
        <v>7.0999999999999994E-2</v>
      </c>
      <c r="D125" s="574"/>
      <c r="E125" s="574">
        <f>G36</f>
        <v>6.1000000000000082E-3</v>
      </c>
      <c r="F125" s="574"/>
      <c r="G125" s="29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  <c r="R125" s="250"/>
      <c r="S125" s="250"/>
      <c r="T125" s="250"/>
      <c r="U125" s="250"/>
      <c r="V125" s="250"/>
      <c r="W125" s="250"/>
    </row>
    <row r="126" spans="1:23">
      <c r="A126" s="250"/>
      <c r="B126" s="573" t="s">
        <v>227</v>
      </c>
      <c r="C126" s="574"/>
      <c r="D126" s="574">
        <v>9.0650999999999995E-2</v>
      </c>
      <c r="E126" s="574"/>
      <c r="F126" s="574"/>
      <c r="G126" s="289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  <c r="R126" s="250"/>
      <c r="S126" s="250"/>
      <c r="T126" s="250"/>
      <c r="U126" s="250"/>
      <c r="V126" s="250"/>
      <c r="W126" s="250"/>
    </row>
    <row r="127" spans="1:23">
      <c r="A127" s="250"/>
      <c r="B127" s="573" t="s">
        <v>218</v>
      </c>
      <c r="C127" s="574">
        <v>7.5999999999999998E-2</v>
      </c>
      <c r="D127" s="573"/>
      <c r="E127" s="574"/>
      <c r="F127" s="574"/>
      <c r="G127" s="289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  <c r="R127" s="250"/>
      <c r="S127" s="250"/>
      <c r="T127" s="250"/>
      <c r="U127" s="250"/>
      <c r="V127" s="250"/>
      <c r="W127" s="250"/>
    </row>
    <row r="128" spans="1:23">
      <c r="A128" s="250"/>
      <c r="B128" s="573" t="s">
        <v>228</v>
      </c>
      <c r="C128" s="574"/>
      <c r="D128" s="574">
        <v>7.9100000000000004E-2</v>
      </c>
      <c r="E128" s="573"/>
      <c r="F128" s="574"/>
      <c r="G128" s="289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  <c r="R128" s="250"/>
      <c r="S128" s="250"/>
      <c r="T128" s="250"/>
      <c r="U128" s="250"/>
      <c r="V128" s="250"/>
      <c r="W128" s="250"/>
    </row>
    <row r="129" spans="1:23">
      <c r="A129" s="250"/>
      <c r="B129" s="573" t="s">
        <v>221</v>
      </c>
      <c r="C129" s="574">
        <v>8.3000000000000004E-2</v>
      </c>
      <c r="D129" s="574"/>
      <c r="E129" s="574"/>
      <c r="F129" s="574"/>
      <c r="G129" s="29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  <c r="R129" s="250"/>
      <c r="S129" s="250"/>
      <c r="T129" s="250"/>
      <c r="U129" s="250"/>
      <c r="V129" s="250"/>
      <c r="W129" s="250"/>
    </row>
    <row r="130" spans="1:23">
      <c r="A130" s="250"/>
      <c r="B130" s="573" t="s">
        <v>211</v>
      </c>
      <c r="C130" s="574">
        <v>6.480000000000001E-2</v>
      </c>
      <c r="D130" s="573"/>
      <c r="E130" s="574"/>
      <c r="F130" s="574"/>
      <c r="G130" s="291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  <c r="R130" s="250"/>
      <c r="S130" s="250"/>
      <c r="T130" s="250"/>
      <c r="U130" s="250"/>
      <c r="V130" s="250"/>
      <c r="W130" s="250"/>
    </row>
    <row r="131" spans="1:23">
      <c r="A131" s="250"/>
      <c r="B131" s="573" t="s">
        <v>229</v>
      </c>
      <c r="C131" s="581">
        <v>6.3E-2</v>
      </c>
      <c r="D131" s="581"/>
      <c r="E131" s="574"/>
      <c r="F131" s="574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  <c r="R131" s="250"/>
      <c r="S131" s="250"/>
      <c r="T131" s="250"/>
      <c r="U131" s="250"/>
      <c r="V131" s="250"/>
      <c r="W131" s="250"/>
    </row>
    <row r="132" spans="1:23">
      <c r="A132" s="250"/>
      <c r="B132" s="573" t="s">
        <v>230</v>
      </c>
      <c r="C132" s="574">
        <v>7.9000000000000001E-2</v>
      </c>
      <c r="D132" s="574"/>
      <c r="E132" s="574">
        <f>E22-D22</f>
        <v>1.0000000000000009E-2</v>
      </c>
      <c r="F132" s="574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  <c r="R132" s="250"/>
      <c r="S132" s="250"/>
      <c r="T132" s="250"/>
      <c r="U132" s="250"/>
      <c r="V132" s="250"/>
      <c r="W132" s="250"/>
    </row>
    <row r="133" spans="1:23">
      <c r="A133" s="250"/>
      <c r="B133" s="573" t="s">
        <v>214</v>
      </c>
      <c r="C133" s="574">
        <v>6.5000000000000002E-2</v>
      </c>
      <c r="D133" s="574"/>
      <c r="E133" s="574">
        <f>E23-D23</f>
        <v>1.0999999999999996E-2</v>
      </c>
      <c r="F133" s="574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  <c r="R133" s="250"/>
      <c r="S133" s="250"/>
      <c r="T133" s="250"/>
      <c r="U133" s="250"/>
      <c r="V133" s="250"/>
      <c r="W133" s="250"/>
    </row>
    <row r="134" spans="1:23">
      <c r="A134" s="250"/>
      <c r="B134" s="575" t="s">
        <v>317</v>
      </c>
      <c r="C134" s="576"/>
      <c r="D134" s="576">
        <v>5.4699999999999999E-2</v>
      </c>
      <c r="E134" s="575"/>
      <c r="F134" s="576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  <c r="R134" s="250"/>
      <c r="S134" s="250"/>
      <c r="T134" s="250"/>
      <c r="U134" s="250"/>
      <c r="V134" s="250"/>
      <c r="W134" s="250"/>
    </row>
    <row r="135" spans="1:23">
      <c r="A135" s="250"/>
      <c r="B135" s="575" t="s">
        <v>316</v>
      </c>
      <c r="C135" s="576">
        <v>4.7800000000000002E-2</v>
      </c>
      <c r="D135" s="576"/>
      <c r="E135" s="576">
        <f>E19-D19</f>
        <v>2.0000000000000004E-2</v>
      </c>
      <c r="F135" s="576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  <c r="R135" s="250"/>
      <c r="S135" s="250"/>
      <c r="T135" s="250"/>
      <c r="U135" s="250"/>
      <c r="V135" s="250"/>
      <c r="W135" s="250"/>
    </row>
    <row r="136" spans="1:23">
      <c r="A136" s="250"/>
      <c r="B136" s="394" t="s">
        <v>318</v>
      </c>
      <c r="C136" s="403"/>
      <c r="D136" s="403">
        <f>$F$37</f>
        <v>7.1217050312156124E-2</v>
      </c>
      <c r="E136" s="392"/>
      <c r="F136" s="403">
        <f>F25-E25</f>
        <v>1.6463534664179935E-2</v>
      </c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  <c r="R136" s="250"/>
      <c r="S136" s="250"/>
      <c r="T136" s="250"/>
      <c r="U136" s="250"/>
      <c r="V136" s="250"/>
      <c r="W136" s="250"/>
    </row>
    <row r="137" spans="1:23">
      <c r="A137" s="250"/>
      <c r="B137" s="250"/>
      <c r="C137" s="250"/>
      <c r="D137" s="251"/>
      <c r="E137" s="251"/>
      <c r="F137" s="251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  <c r="R137" s="250"/>
      <c r="S137" s="250"/>
      <c r="T137" s="250"/>
      <c r="U137" s="250"/>
      <c r="V137" s="250"/>
      <c r="W137" s="250"/>
    </row>
    <row r="138" spans="1:23">
      <c r="A138" s="250"/>
      <c r="B138" s="250"/>
      <c r="C138" s="250"/>
      <c r="D138" s="251"/>
      <c r="E138" s="251"/>
      <c r="F138" s="251"/>
      <c r="G138" s="254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  <c r="R138" s="250"/>
      <c r="S138" s="250"/>
      <c r="T138" s="250"/>
      <c r="U138" s="250"/>
      <c r="V138" s="250"/>
      <c r="W138" s="250"/>
    </row>
    <row r="139" spans="1:23">
      <c r="A139" s="250"/>
      <c r="B139" s="250"/>
      <c r="C139" s="250"/>
      <c r="D139" s="251"/>
      <c r="E139" s="251"/>
      <c r="F139" s="251"/>
      <c r="G139" s="254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  <c r="R139" s="250"/>
      <c r="S139" s="250"/>
      <c r="T139" s="250"/>
      <c r="U139" s="250"/>
      <c r="V139" s="250"/>
      <c r="W139" s="250"/>
    </row>
    <row r="140" spans="1:23">
      <c r="A140" s="250"/>
      <c r="B140" s="250"/>
      <c r="C140" s="250"/>
      <c r="D140" s="251"/>
      <c r="E140" s="251"/>
      <c r="F140" s="251"/>
      <c r="G140" s="254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  <c r="R140" s="250"/>
      <c r="S140" s="250"/>
      <c r="T140" s="250"/>
      <c r="U140" s="250"/>
      <c r="V140" s="250"/>
      <c r="W140" s="250"/>
    </row>
    <row r="141" spans="1:23" ht="13.2" customHeight="1">
      <c r="A141" s="250"/>
      <c r="B141" s="250"/>
      <c r="C141" s="250"/>
      <c r="D141" s="251"/>
      <c r="E141" s="251"/>
      <c r="F141" s="251"/>
      <c r="G141" s="254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  <c r="R141" s="250"/>
      <c r="S141" s="250"/>
      <c r="T141" s="250"/>
      <c r="U141" s="250"/>
      <c r="V141" s="250"/>
      <c r="W141" s="250"/>
    </row>
  </sheetData>
  <sortState ref="J97:L111">
    <sortCondition ref="L97:L111"/>
  </sortState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Add Dossier Service and Service Nr Eventhandler (Added)</Name>
    <Synchronization>Synchronous</Synchronization>
    <Type>10001</Type>
    <SequenceNumber>10030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addin</Name>
    <Synchronization>Synchronous</Synchronization>
    <Type>1</Type>
    <SequenceNumber>10240</SequenceNumber>
    <Assembly>BIPT.Ged, Version=1.0.0.0, Culture=neutral, PublicKeyToken=423c9e81cd84949a</Assembly>
    <Class>BIPT.Ged.EventReceivers.FillOutDossierServiceAndServiceNumber.FillOutDossierServiceAndServiceNumber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ssier Document FR" ma:contentTypeID="0x0101004FA21861B553C741A1AA3F2E5831C1CC0507009B219235E488424E858FD5EE5506841D" ma:contentTypeVersion="65" ma:contentTypeDescription="Een nieuw document maken." ma:contentTypeScope="" ma:versionID="234a4dd1a8f1ac8a16e0ce8beda7cc33">
  <xsd:schema xmlns:xsd="http://www.w3.org/2001/XMLSchema" xmlns:xs="http://www.w3.org/2001/XMLSchema" xmlns:p="http://schemas.microsoft.com/office/2006/metadata/properties" xmlns:ns2="2b4b6fc7-bde4-44a8-8bca-a78eb25a27e9" targetNamespace="http://schemas.microsoft.com/office/2006/metadata/properties" ma:root="true" ma:fieldsID="cc804964a05c13a3f2434b33664984d5" ns2:_="">
    <xsd:import namespace="2b4b6fc7-bde4-44a8-8bca-a78eb25a27e9"/>
    <xsd:element name="properties">
      <xsd:complexType>
        <xsd:sequence>
          <xsd:element name="documentManagement">
            <xsd:complexType>
              <xsd:all>
                <xsd:element ref="ns2:Dossier_x0020_Number" minOccurs="0"/>
                <xsd:element ref="ns2:History_x0020_of_x0020_Remarks" minOccurs="0"/>
                <xsd:element ref="ns2:Administrative" minOccurs="0"/>
                <xsd:element ref="ns2:Confidential1" minOccurs="0"/>
                <xsd:element ref="ns2:Version_x0020_Published_x0020_To_x0020_Library" minOccurs="0"/>
                <xsd:element ref="ns2:_dlc_DocIdUrl" minOccurs="0"/>
                <xsd:element ref="ns2:_dlc_DocIdPersistId" minOccurs="0"/>
                <xsd:element ref="ns2:abfcb1f17d5f4555baa428617776f0c1" minOccurs="0"/>
                <xsd:element ref="ns2:TaxCatchAllLabel" minOccurs="0"/>
                <xsd:element ref="ns2:d4ec9b080060429989fa5f940ee3f852" minOccurs="0"/>
                <xsd:element ref="ns2:TaxCatchAll" minOccurs="0"/>
                <xsd:element ref="ns2:o3cf37d2a5d34fd7955003a053893e5e" minOccurs="0"/>
                <xsd:element ref="ns2:_dlc_DocId" minOccurs="0"/>
                <xsd:element ref="ns2:Version_x0020_Published_x0020_to_x0020_Internet" minOccurs="0"/>
                <xsd:element ref="ns2:QuickPartDocumentId" minOccurs="0"/>
                <xsd:element ref="ns2:Master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6fc7-bde4-44a8-8bca-a78eb25a27e9" elementFormDefault="qualified">
    <xsd:import namespace="http://schemas.microsoft.com/office/2006/documentManagement/types"/>
    <xsd:import namespace="http://schemas.microsoft.com/office/infopath/2007/PartnerControls"/>
    <xsd:element name="Dossier_x0020_Number" ma:index="5" nillable="true" ma:displayName="Dossier Number" ma:internalName="Dossier_x0020_Number">
      <xsd:simpleType>
        <xsd:restriction base="dms:Text">
          <xsd:maxLength value="255"/>
        </xsd:restriction>
      </xsd:simpleType>
    </xsd:element>
    <xsd:element name="History_x0020_of_x0020_Remarks" ma:index="6" nillable="true" ma:displayName="History of Remarks" ma:internalName="History_x0020_of_x0020_Remarks">
      <xsd:simpleType>
        <xsd:restriction base="dms:Note">
          <xsd:maxLength value="255"/>
        </xsd:restriction>
      </xsd:simpleType>
    </xsd:element>
    <xsd:element name="Administrative" ma:index="7" nillable="true" ma:displayName="Administrative" ma:default="0" ma:internalName="Administrative">
      <xsd:simpleType>
        <xsd:restriction base="dms:Boolean"/>
      </xsd:simpleType>
    </xsd:element>
    <xsd:element name="Confidential1" ma:index="8" nillable="true" ma:displayName="Confidential" ma:default="0" ma:internalName="Confidential1">
      <xsd:simpleType>
        <xsd:restriction base="dms:Boolean"/>
      </xsd:simpleType>
    </xsd:element>
    <xsd:element name="Version_x0020_Published_x0020_To_x0020_Library" ma:index="9" nillable="true" ma:displayName="Version Published to Library" ma:internalName="Version_x0020_Published_x0020_To_x0020_Library">
      <xsd:simpleType>
        <xsd:restriction base="dms:Text">
          <xsd:maxLength value="255"/>
        </xsd:restriction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bfcb1f17d5f4555baa428617776f0c1" ma:index="12" nillable="true" ma:taxonomy="true" ma:internalName="abfcb1f17d5f4555baa428617776f0c1" ma:taxonomyFieldName="Document_x0020_Type" ma:displayName="Document Type" ma:default="" ma:fieldId="{abfcb1f1-7d5f-4555-baa4-28617776f0c1}" ma:sspId="75b52628-4ae0-409d-b79e-6d0521b2c784" ma:termSetId="0add2e65-f722-4dcd-91e5-e26bd7158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4" nillable="true" ma:displayName="Taxonomy Catch All Column1" ma:hidden="true" ma:list="{aacb5312-317a-4e89-849f-bd5396de7844}" ma:internalName="TaxCatchAllLabel" ma:readOnly="true" ma:showField="CatchAllDataLabel" ma:web="ab6e64ae-3f44-4123-a63a-12e640d22e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c9b080060429989fa5f940ee3f852" ma:index="18" nillable="true" ma:taxonomy="true" ma:internalName="d4ec9b080060429989fa5f940ee3f852" ma:taxonomyFieldName="Service1" ma:displayName="Service" ma:readOnly="false" ma:default="" ma:fieldId="{d4ec9b08-0060-4299-89fa-5f940ee3f852}" ma:sspId="75b52628-4ae0-409d-b79e-6d0521b2c784" ma:termSetId="46b8dc2a-6372-4a7b-bdd4-6b0c5e7874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aacb5312-317a-4e89-849f-bd5396de7844}" ma:internalName="TaxCatchAll" ma:showField="CatchAllData" ma:web="ab6e64ae-3f44-4123-a63a-12e640d22e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3cf37d2a5d34fd7955003a053893e5e" ma:index="20" nillable="true" ma:taxonomy="true" ma:internalName="o3cf37d2a5d34fd7955003a053893e5e" ma:taxonomyFieldName="Languages" ma:displayName="Languages" ma:default="" ma:fieldId="{83cf37d2-a5d3-4fd7-9550-03a053893e5e}" ma:taxonomyMulti="true" ma:sspId="75b52628-4ae0-409d-b79e-6d0521b2c784" ma:termSetId="af6d6fcf-919d-4606-93f6-1f52cad124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Version_x0020_Published_x0020_to_x0020_Internet" ma:index="24" nillable="true" ma:displayName="Version Published to Internet" ma:internalName="Version_x0020_Published_x0020_to_x0020_Internet">
      <xsd:simpleType>
        <xsd:restriction base="dms:Text">
          <xsd:maxLength value="255"/>
        </xsd:restriction>
      </xsd:simpleType>
    </xsd:element>
    <xsd:element name="QuickPartDocumentId" ma:index="25" nillable="true" ma:displayName="Doc Id" ma:internalName="QuickPartDocumentId" ma:readOnly="false">
      <xsd:simpleType>
        <xsd:restriction base="dms:Text">
          <xsd:maxLength value="255"/>
        </xsd:restriction>
      </xsd:simpleType>
    </xsd:element>
    <xsd:element name="Master_x0020_Id" ma:index="26" nillable="true" ma:displayName="Master Id" ma:internalName="Master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Published_x0020_To_x0020_Library xmlns="2b4b6fc7-bde4-44a8-8bca-a78eb25a27e9" xsi:nil="true"/>
    <d4ec9b080060429989fa5f940ee3f852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Telecom And Media</TermName>
          <TermId xmlns="http://schemas.microsoft.com/office/infopath/2007/PartnerControls">0d70e459-47d9-475b-bd99-b3a781cfdf71</TermId>
        </TermInfo>
      </Terms>
    </d4ec9b080060429989fa5f940ee3f852>
    <o3cf37d2a5d34fd7955003a053893e5e xmlns="2b4b6fc7-bde4-44a8-8bca-a78eb25a27e9">
      <Terms xmlns="http://schemas.microsoft.com/office/infopath/2007/PartnerControls"/>
    </o3cf37d2a5d34fd7955003a053893e5e>
    <Master_x0020_Id xmlns="2b4b6fc7-bde4-44a8-8bca-a78eb25a27e9" xsi:nil="true"/>
    <Dossier_x0020_Number xmlns="2b4b6fc7-bde4-44a8-8bca-a78eb25a27e9">2017-000627</Dossier_x0020_Number>
    <Version_x0020_Published_x0020_to_x0020_Internet xmlns="2b4b6fc7-bde4-44a8-8bca-a78eb25a27e9" xsi:nil="true"/>
    <abfcb1f17d5f4555baa428617776f0c1 xmlns="2b4b6fc7-bde4-44a8-8bca-a78eb25a27e9">
      <Terms xmlns="http://schemas.microsoft.com/office/infopath/2007/PartnerControls"/>
    </abfcb1f17d5f4555baa428617776f0c1>
    <TaxCatchAll xmlns="2b4b6fc7-bde4-44a8-8bca-a78eb25a27e9">
      <Value>77</Value>
    </TaxCatchAll>
    <QuickPartDocumentId xmlns="2b4b6fc7-bde4-44a8-8bca-a78eb25a27e9">DS17-745993026-336</QuickPartDocumentId>
    <History_x0020_of_x0020_Remarks xmlns="2b4b6fc7-bde4-44a8-8bca-a78eb25a27e9" xsi:nil="true"/>
    <Administrative xmlns="2b4b6fc7-bde4-44a8-8bca-a78eb25a27e9">false</Administrative>
    <Confidential1 xmlns="2b4b6fc7-bde4-44a8-8bca-a78eb25a27e9">false</Confidential1>
    <_dlc_DocId xmlns="2b4b6fc7-bde4-44a8-8bca-a78eb25a27e9">DS17-745993026-336</_dlc_DocId>
    <_dlc_DocIdUrl xmlns="2b4b6fc7-bde4-44a8-8bca-a78eb25a27e9">
      <Url>http://teamworkingspace.bipt.local/sites/dossiers2017/5/2017000627/_layouts/DocIdRedir.aspx?ID=DS17-745993026-336</Url>
      <Description>DS17-745993026-336</Description>
    </_dlc_DocIdUrl>
  </documentManagement>
</p:properties>
</file>

<file path=customXml/itemProps1.xml><?xml version="1.0" encoding="utf-8"?>
<ds:datastoreItem xmlns:ds="http://schemas.openxmlformats.org/officeDocument/2006/customXml" ds:itemID="{ED78EA81-BAC7-4827-952E-29C9D5A09424}"/>
</file>

<file path=customXml/itemProps2.xml><?xml version="1.0" encoding="utf-8"?>
<ds:datastoreItem xmlns:ds="http://schemas.openxmlformats.org/officeDocument/2006/customXml" ds:itemID="{2DA7AEFD-6C34-486E-AC6F-0EDCC79D5B7B}"/>
</file>

<file path=customXml/itemProps3.xml><?xml version="1.0" encoding="utf-8"?>
<ds:datastoreItem xmlns:ds="http://schemas.openxmlformats.org/officeDocument/2006/customXml" ds:itemID="{2A019894-EC95-4121-B7C6-ADE05845C6DE}"/>
</file>

<file path=customXml/itemProps4.xml><?xml version="1.0" encoding="utf-8"?>
<ds:datastoreItem xmlns:ds="http://schemas.openxmlformats.org/officeDocument/2006/customXml" ds:itemID="{4CAA3A6B-F2F4-4115-9FAF-B76E58E8ECE6}"/>
</file>

<file path=customXml/itemProps5.xml><?xml version="1.0" encoding="utf-8"?>
<ds:datastoreItem xmlns:ds="http://schemas.openxmlformats.org/officeDocument/2006/customXml" ds:itemID="{77EC1BA7-C65E-41B8-B3D8-B307F843EA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WACC BIPT 2019</vt:lpstr>
      <vt:lpstr>To Ms Word A</vt:lpstr>
      <vt:lpstr>Cullen July 2018 (to update)</vt:lpstr>
      <vt:lpstr>To Ms Word B (to update)</vt:lpstr>
      <vt:lpstr>Cullen Dec 2018</vt:lpstr>
      <vt:lpstr>To Ms Word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P2 WACC 4 Results</dc:title>
  <dc:creator>djibril diakité</dc:creator>
  <cp:lastModifiedBy>Windows User</cp:lastModifiedBy>
  <cp:lastPrinted>2009-04-14T04:38:16Z</cp:lastPrinted>
  <dcterms:created xsi:type="dcterms:W3CDTF">2006-03-09T22:15:29Z</dcterms:created>
  <dcterms:modified xsi:type="dcterms:W3CDTF">2019-05-08T16:27:06Z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0x0101004FA21861B553C741A1AA3F2E5831C1CC0507009B219235E488424E858FD5EE5506841D</vt:lpwstr>
  </property>
  <property fmtid="{D5CDD505-2E9C-101B-9397-08002B2CF9AE}" pid="3" name="_dlc_DocIdItemGuid">
    <vt:lpwstr>838e9b07-ba1c-4d0c-9174-cd792b328cf2</vt:lpwstr>
  </property>
  <property fmtid="{D5CDD505-2E9C-101B-9397-08002B2CF9AE}" pid="4" name="p5514218fd064764993fc7f005d66e34">
    <vt:lpwstr/>
  </property>
  <property fmtid="{D5CDD505-2E9C-101B-9397-08002B2CF9AE}" pid="5" name="nd8a4f3b4df3473d8008d70ef4499b5e">
    <vt:lpwstr/>
  </property>
  <property fmtid="{D5CDD505-2E9C-101B-9397-08002B2CF9AE}" pid="6" name="Medium Type">
    <vt:lpwstr/>
  </property>
  <property fmtid="{D5CDD505-2E9C-101B-9397-08002B2CF9AE}" pid="7" name="Service1">
    <vt:lpwstr>77;#Telecom And Media|0d70e459-47d9-475b-bd99-b3a781cfdf71</vt:lpwstr>
  </property>
  <property fmtid="{D5CDD505-2E9C-101B-9397-08002B2CF9AE}" pid="8" name="Languages">
    <vt:lpwstr/>
  </property>
  <property fmtid="{D5CDD505-2E9C-101B-9397-08002B2CF9AE}" pid="9" name="Document Type">
    <vt:lpwstr/>
  </property>
  <property fmtid="{D5CDD505-2E9C-101B-9397-08002B2CF9AE}" pid="10" name="Answer or Initiative">
    <vt:lpwstr/>
  </property>
</Properties>
</file>