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4388" yWindow="108" windowWidth="14436" windowHeight="9432" activeTab="4"/>
  </bookViews>
  <sheets>
    <sheet name="S" sheetId="47" r:id="rId1"/>
    <sheet name="Values and minus percentages" sheetId="51" r:id="rId2"/>
    <sheet name="Wholesale tariffs - analog TV" sheetId="60" r:id="rId3"/>
    <sheet name="Wholesal tariffs - digital TV" sheetId="59" r:id="rId4"/>
    <sheet name="Wholesale tariffs - multiplay" sheetId="49" r:id="rId5"/>
  </sheets>
  <definedNames>
    <definedName name="_xlnm._FilterDatabase" localSheetId="1" hidden="1">'Values and minus percentages'!#REF!</definedName>
    <definedName name="billion">1000000000</definedName>
    <definedName name="bit.conversion">1024</definedName>
    <definedName name="bit.per.byte">8</definedName>
    <definedName name="block.size">"2x5 MHz"</definedName>
    <definedName name="cell.pi">2.6</definedName>
    <definedName name="chosen.minus">'Values and minus percentages'!$H$66:$H$69</definedName>
    <definedName name="chosen.minus.TVanalogique">'Values and minus percentages'!$H$82:$H$85</definedName>
    <definedName name="chosen.minus.TVnumerique">'Values and minus percentages'!$H$74:$H$77</definedName>
    <definedName name="days.per.month">30.42</definedName>
    <definedName name="days.per.year">365</definedName>
    <definedName name="epsilon">0.000001</definedName>
    <definedName name="hours.per.day">24</definedName>
    <definedName name="liste.minus">'Values and minus percentages'!$D$65:$F$65</definedName>
    <definedName name="million">1000000</definedName>
    <definedName name="minutes.per.hour">60</definedName>
    <definedName name="months.per.year">12</definedName>
    <definedName name="_xlnm.Extract" localSheetId="1">'Values and minus percentages'!#REF!</definedName>
    <definedName name="seconds.per.hour">3600</definedName>
    <definedName name="seconds.per.minute">60</definedName>
    <definedName name="sectors.per.site" localSheetId="3">#REF!</definedName>
    <definedName name="sectors.per.site" localSheetId="2">#REF!</definedName>
    <definedName name="sectors.per.site">#REF!</definedName>
    <definedName name="thousand">1000</definedName>
    <definedName name="VAT.rate">'Values and minus percentages'!$D$3</definedName>
    <definedName name="Workbook.Author" localSheetId="3">#REF!</definedName>
    <definedName name="Workbook.Author" localSheetId="2">#REF!</definedName>
    <definedName name="Workbook.Author">#REF!</definedName>
    <definedName name="Workbook.Authors_Email_Address" localSheetId="3">#REF!</definedName>
    <definedName name="Workbook.Authors_Email_Address" localSheetId="2">#REF!</definedName>
    <definedName name="Workbook.Authors_Email_Address">#REF!</definedName>
    <definedName name="Workbook.Objective" localSheetId="3">#REF!</definedName>
    <definedName name="Workbook.Objective" localSheetId="2">#REF!</definedName>
    <definedName name="Workbook.Objective">#REF!</definedName>
    <definedName name="Workbook.Status" localSheetId="3">#REF!</definedName>
    <definedName name="Workbook.Status" localSheetId="2">#REF!</definedName>
    <definedName name="Workbook.Status">#REF!</definedName>
    <definedName name="Workbook.Title" localSheetId="3">#REF!</definedName>
    <definedName name="Workbook.Title" localSheetId="2">#REF!</definedName>
    <definedName name="Workbook.Title">#REF!</definedName>
    <definedName name="Workbook.Version" localSheetId="3">#REF!</definedName>
    <definedName name="Workbook.Version" localSheetId="2">#REF!</definedName>
    <definedName name="Workbook.Version">#REF!</definedName>
  </definedNames>
  <calcPr calcId="145621"/>
</workbook>
</file>

<file path=xl/calcChain.xml><?xml version="1.0" encoding="utf-8"?>
<calcChain xmlns="http://schemas.openxmlformats.org/spreadsheetml/2006/main">
  <c r="F81" i="51" l="1"/>
  <c r="E81" i="51"/>
  <c r="E73" i="51"/>
  <c r="F73" i="51"/>
  <c r="D39" i="51"/>
  <c r="D40" i="51"/>
  <c r="D42" i="51"/>
  <c r="D54" i="51"/>
  <c r="D55" i="51"/>
  <c r="K21" i="60" l="1"/>
  <c r="G21" i="60"/>
  <c r="E21" i="60"/>
  <c r="G31" i="59" l="1"/>
  <c r="K31" i="59"/>
  <c r="E31" i="59"/>
  <c r="D84" i="51"/>
  <c r="H85" i="51"/>
  <c r="K20" i="60" s="1"/>
  <c r="H84" i="51"/>
  <c r="I20" i="60" s="1"/>
  <c r="H83" i="51"/>
  <c r="G20" i="60" s="1"/>
  <c r="H82" i="51"/>
  <c r="E20" i="60" s="1"/>
  <c r="H81" i="51"/>
  <c r="H77" i="51"/>
  <c r="H76" i="51"/>
  <c r="D76" i="51"/>
  <c r="I21" i="60" s="1"/>
  <c r="H75" i="51"/>
  <c r="H74" i="51"/>
  <c r="H73" i="51"/>
  <c r="I31" i="59" l="1"/>
  <c r="E30" i="59"/>
  <c r="G30" i="59"/>
  <c r="K30" i="59"/>
  <c r="I30" i="59"/>
  <c r="K19" i="59"/>
  <c r="I19" i="59"/>
  <c r="G19" i="59"/>
  <c r="E19" i="59"/>
  <c r="F14" i="51"/>
  <c r="G14" i="51" s="1"/>
  <c r="F27" i="51" l="1"/>
  <c r="G27" i="51" s="1"/>
  <c r="H97" i="49" l="1"/>
  <c r="S97" i="49"/>
  <c r="AD97" i="49"/>
  <c r="H91" i="49"/>
  <c r="S91" i="49"/>
  <c r="AD91" i="49"/>
  <c r="H92" i="49"/>
  <c r="S92" i="49"/>
  <c r="AD92" i="49"/>
  <c r="H93" i="49"/>
  <c r="S93" i="49"/>
  <c r="AD93" i="49"/>
  <c r="H94" i="49"/>
  <c r="S94" i="49"/>
  <c r="AD94" i="49"/>
  <c r="H95" i="49"/>
  <c r="S95" i="49"/>
  <c r="AD95" i="49"/>
  <c r="H96" i="49"/>
  <c r="S96" i="49"/>
  <c r="AD96" i="49"/>
  <c r="H72" i="49"/>
  <c r="H83" i="49" l="1"/>
  <c r="H90" i="49" s="1"/>
  <c r="H74" i="49"/>
  <c r="AD64" i="49"/>
  <c r="AD72" i="49" s="1"/>
  <c r="AD83" i="49" s="1"/>
  <c r="AD90" i="49" s="1"/>
  <c r="S64" i="49"/>
  <c r="S72" i="49" s="1"/>
  <c r="S105" i="49" s="1"/>
  <c r="AD74" i="49" l="1"/>
  <c r="S74" i="49"/>
  <c r="S83" i="49"/>
  <c r="S90" i="49" s="1"/>
  <c r="AD105" i="49"/>
  <c r="F29" i="51" l="1"/>
  <c r="G29" i="51" s="1"/>
  <c r="F48" i="51"/>
  <c r="G48" i="51" s="1"/>
  <c r="F28" i="51"/>
  <c r="G28" i="51" s="1"/>
  <c r="O20" i="49"/>
  <c r="AC103" i="49"/>
  <c r="AB103" i="49"/>
  <c r="AA103" i="49"/>
  <c r="Z103" i="49"/>
  <c r="Y103" i="49"/>
  <c r="X103" i="49"/>
  <c r="W103" i="49"/>
  <c r="V103" i="49"/>
  <c r="U103" i="49"/>
  <c r="T103" i="49"/>
  <c r="AC80" i="49"/>
  <c r="AB80" i="49"/>
  <c r="AA80" i="49"/>
  <c r="Z80" i="49"/>
  <c r="Y80" i="49"/>
  <c r="X80" i="49"/>
  <c r="W80" i="49"/>
  <c r="V80" i="49"/>
  <c r="U80" i="49"/>
  <c r="T80" i="49"/>
  <c r="AC77" i="49"/>
  <c r="AB77" i="49"/>
  <c r="AA77" i="49"/>
  <c r="Z77" i="49"/>
  <c r="Y77" i="49"/>
  <c r="X77" i="49"/>
  <c r="W77" i="49"/>
  <c r="V77" i="49"/>
  <c r="U77" i="49"/>
  <c r="T77" i="49"/>
  <c r="AC47" i="49"/>
  <c r="AB47" i="49"/>
  <c r="AA47" i="49"/>
  <c r="Z47" i="49"/>
  <c r="Y47" i="49"/>
  <c r="X47" i="49"/>
  <c r="W47" i="49"/>
  <c r="V47" i="49"/>
  <c r="U47" i="49"/>
  <c r="T47" i="49"/>
  <c r="X46" i="49"/>
  <c r="W46" i="49"/>
  <c r="V46" i="49"/>
  <c r="U46" i="49"/>
  <c r="T46" i="49"/>
  <c r="AC45" i="49"/>
  <c r="AB45" i="49"/>
  <c r="AA45" i="49"/>
  <c r="Z45" i="49"/>
  <c r="Y45" i="49"/>
  <c r="X45" i="49"/>
  <c r="W45" i="49"/>
  <c r="V45" i="49"/>
  <c r="U45" i="49"/>
  <c r="T45" i="49"/>
  <c r="AC67" i="49"/>
  <c r="AB67" i="49"/>
  <c r="AA67" i="49"/>
  <c r="Z67" i="49"/>
  <c r="Y67" i="49"/>
  <c r="X67" i="49"/>
  <c r="W67" i="49"/>
  <c r="V67" i="49"/>
  <c r="U67" i="49"/>
  <c r="T67" i="49"/>
  <c r="AC66" i="49"/>
  <c r="AB66" i="49"/>
  <c r="AA66" i="49"/>
  <c r="Z66" i="49"/>
  <c r="Y66" i="49"/>
  <c r="X66" i="49"/>
  <c r="W66" i="49"/>
  <c r="V66" i="49"/>
  <c r="U66" i="49"/>
  <c r="T66" i="49"/>
  <c r="AC43" i="49"/>
  <c r="AB43" i="49"/>
  <c r="AA43" i="49"/>
  <c r="Z43" i="49"/>
  <c r="Y43" i="49"/>
  <c r="X43" i="49"/>
  <c r="W43" i="49"/>
  <c r="V43" i="49"/>
  <c r="U43" i="49"/>
  <c r="T43" i="49"/>
  <c r="Z42" i="49"/>
  <c r="Y42" i="49"/>
  <c r="U42" i="49"/>
  <c r="T42" i="49"/>
  <c r="Z25" i="49"/>
  <c r="Y25" i="49"/>
  <c r="U25" i="49"/>
  <c r="T25" i="49"/>
  <c r="AC23" i="49"/>
  <c r="AB23" i="49"/>
  <c r="AA23" i="49"/>
  <c r="Z23" i="49"/>
  <c r="Y23" i="49"/>
  <c r="X23" i="49"/>
  <c r="W23" i="49"/>
  <c r="V23" i="49"/>
  <c r="U23" i="49"/>
  <c r="T23" i="49"/>
  <c r="AC20" i="49"/>
  <c r="AC82" i="49" s="1"/>
  <c r="AB20" i="49"/>
  <c r="AB82" i="49" s="1"/>
  <c r="AA20" i="49"/>
  <c r="AA82" i="49" s="1"/>
  <c r="Z20" i="49"/>
  <c r="Z82" i="49" s="1"/>
  <c r="Y20" i="49"/>
  <c r="Y82" i="49" s="1"/>
  <c r="X20" i="49"/>
  <c r="X82" i="49" s="1"/>
  <c r="W20" i="49"/>
  <c r="W82" i="49" s="1"/>
  <c r="V20" i="49"/>
  <c r="V82" i="49" s="1"/>
  <c r="U20" i="49"/>
  <c r="U82" i="49" s="1"/>
  <c r="T20" i="49"/>
  <c r="T82" i="49" s="1"/>
  <c r="F103" i="49"/>
  <c r="E103" i="49"/>
  <c r="G103" i="49"/>
  <c r="H65" i="51"/>
  <c r="H67" i="51"/>
  <c r="H68" i="51"/>
  <c r="H69" i="51"/>
  <c r="H66" i="51"/>
  <c r="W102" i="49" l="1"/>
  <c r="F102" i="49"/>
  <c r="AE102" i="49"/>
  <c r="Y87" i="49"/>
  <c r="AC87" i="49"/>
  <c r="Z87" i="49"/>
  <c r="V87" i="49"/>
  <c r="W87" i="49"/>
  <c r="AA87" i="49"/>
  <c r="T102" i="49"/>
  <c r="Z102" i="49"/>
  <c r="V102" i="49"/>
  <c r="AC102" i="49"/>
  <c r="Y102" i="49"/>
  <c r="U102" i="49"/>
  <c r="AB102" i="49"/>
  <c r="X102" i="49"/>
  <c r="AA102" i="49"/>
  <c r="AA19" i="49"/>
  <c r="AA28" i="49" s="1"/>
  <c r="AA30" i="49" s="1"/>
  <c r="J102" i="49"/>
  <c r="Y19" i="49"/>
  <c r="Y28" i="49" s="1"/>
  <c r="Y30" i="49" s="1"/>
  <c r="AC19" i="49"/>
  <c r="AC28" i="49" s="1"/>
  <c r="AC30" i="49" s="1"/>
  <c r="AC29" i="49" s="1"/>
  <c r="I102" i="49"/>
  <c r="M102" i="49"/>
  <c r="Q102" i="49"/>
  <c r="L102" i="49"/>
  <c r="P102" i="49"/>
  <c r="K102" i="49"/>
  <c r="O102" i="49"/>
  <c r="AG102" i="49"/>
  <c r="V19" i="49"/>
  <c r="V28" i="49" s="1"/>
  <c r="V30" i="49" s="1"/>
  <c r="W19" i="49"/>
  <c r="W28" i="49" s="1"/>
  <c r="W30" i="49" s="1"/>
  <c r="AF102" i="49"/>
  <c r="R102" i="49"/>
  <c r="N102" i="49"/>
  <c r="G102" i="49"/>
  <c r="Z19" i="49"/>
  <c r="Z28" i="49" s="1"/>
  <c r="Z30" i="49" s="1"/>
  <c r="Z29" i="49" s="1"/>
  <c r="E102" i="49"/>
  <c r="T87" i="49"/>
  <c r="X87" i="49"/>
  <c r="AB87" i="49"/>
  <c r="T19" i="49"/>
  <c r="T28" i="49" s="1"/>
  <c r="X19" i="49"/>
  <c r="X28" i="49" s="1"/>
  <c r="AB19" i="49"/>
  <c r="AB28" i="49" s="1"/>
  <c r="U87" i="49"/>
  <c r="U19" i="49"/>
  <c r="U28" i="49" s="1"/>
  <c r="AF25" i="49"/>
  <c r="AE25" i="49"/>
  <c r="O25" i="49"/>
  <c r="N25" i="49"/>
  <c r="J25" i="49"/>
  <c r="I25" i="49"/>
  <c r="F52" i="51"/>
  <c r="G52" i="51" s="1"/>
  <c r="F13" i="51"/>
  <c r="G13" i="51" s="1"/>
  <c r="J103" i="49"/>
  <c r="K103" i="49"/>
  <c r="L103" i="49"/>
  <c r="M103" i="49"/>
  <c r="N103" i="49"/>
  <c r="O103" i="49"/>
  <c r="P103" i="49"/>
  <c r="Q103" i="49"/>
  <c r="R103" i="49"/>
  <c r="I103" i="49"/>
  <c r="D68" i="51"/>
  <c r="V29" i="49" l="1"/>
  <c r="U30" i="49"/>
  <c r="X30" i="49"/>
  <c r="W29" i="49"/>
  <c r="AA29" i="49"/>
  <c r="T30" i="49"/>
  <c r="T29" i="49" s="1"/>
  <c r="Y29" i="49"/>
  <c r="AB30" i="49"/>
  <c r="AB29" i="49" l="1"/>
  <c r="X29" i="49"/>
  <c r="U29" i="49"/>
  <c r="AG23" i="49" l="1"/>
  <c r="AF23" i="49"/>
  <c r="AE23" i="49"/>
  <c r="R23" i="49"/>
  <c r="Q23" i="49"/>
  <c r="P23" i="49"/>
  <c r="O23" i="49"/>
  <c r="N23" i="49"/>
  <c r="M23" i="49"/>
  <c r="L23" i="49"/>
  <c r="K23" i="49"/>
  <c r="J23" i="49"/>
  <c r="I23" i="49"/>
  <c r="AG80" i="49"/>
  <c r="AF80" i="49"/>
  <c r="AE80" i="49"/>
  <c r="AG77" i="49"/>
  <c r="AF77" i="49"/>
  <c r="AE77" i="49"/>
  <c r="J77" i="49"/>
  <c r="K77" i="49"/>
  <c r="L77" i="49"/>
  <c r="M77" i="49"/>
  <c r="N77" i="49"/>
  <c r="O77" i="49"/>
  <c r="P77" i="49"/>
  <c r="Q77" i="49"/>
  <c r="R77" i="49"/>
  <c r="J80" i="49"/>
  <c r="K80" i="49"/>
  <c r="L80" i="49"/>
  <c r="M80" i="49"/>
  <c r="N80" i="49"/>
  <c r="O80" i="49"/>
  <c r="P80" i="49"/>
  <c r="Q80" i="49"/>
  <c r="R80" i="49"/>
  <c r="I80" i="49"/>
  <c r="I77" i="49"/>
  <c r="F77" i="49"/>
  <c r="G77" i="49"/>
  <c r="E77" i="49"/>
  <c r="R87" i="49" l="1"/>
  <c r="N87" i="49"/>
  <c r="Q87" i="49"/>
  <c r="P87" i="49"/>
  <c r="AF87" i="49"/>
  <c r="I87" i="49"/>
  <c r="O87" i="49"/>
  <c r="K87" i="49"/>
  <c r="AG87" i="49"/>
  <c r="J87" i="49"/>
  <c r="AE87" i="49"/>
  <c r="M87" i="49"/>
  <c r="L87" i="49"/>
  <c r="AG20" i="49" l="1"/>
  <c r="AF20" i="49"/>
  <c r="AE20" i="49"/>
  <c r="J20" i="49"/>
  <c r="K20" i="49"/>
  <c r="L20" i="49"/>
  <c r="M20" i="49"/>
  <c r="N20" i="49"/>
  <c r="P20" i="49"/>
  <c r="Q20" i="49"/>
  <c r="R20" i="49"/>
  <c r="I20" i="49"/>
  <c r="F20" i="49"/>
  <c r="F82" i="49" s="1"/>
  <c r="G20" i="49"/>
  <c r="G82" i="49" s="1"/>
  <c r="E20" i="49"/>
  <c r="E82" i="49" s="1"/>
  <c r="Q19" i="49" l="1"/>
  <c r="Q28" i="49" s="1"/>
  <c r="Q82" i="49"/>
  <c r="O19" i="49"/>
  <c r="O28" i="49" s="1"/>
  <c r="O82" i="49"/>
  <c r="K82" i="49"/>
  <c r="K19" i="49"/>
  <c r="K28" i="49" s="1"/>
  <c r="AG82" i="49"/>
  <c r="AG19" i="49"/>
  <c r="AG28" i="49" s="1"/>
  <c r="M19" i="49"/>
  <c r="M28" i="49" s="1"/>
  <c r="M82" i="49"/>
  <c r="AE82" i="49"/>
  <c r="AE19" i="49"/>
  <c r="AE28" i="49" s="1"/>
  <c r="I82" i="49"/>
  <c r="I19" i="49"/>
  <c r="I28" i="49" s="1"/>
  <c r="R82" i="49"/>
  <c r="R19" i="49"/>
  <c r="R28" i="49" s="1"/>
  <c r="N19" i="49"/>
  <c r="N28" i="49" s="1"/>
  <c r="N82" i="49"/>
  <c r="J82" i="49"/>
  <c r="J19" i="49"/>
  <c r="J28" i="49" s="1"/>
  <c r="P19" i="49"/>
  <c r="P28" i="49" s="1"/>
  <c r="P82" i="49"/>
  <c r="L19" i="49"/>
  <c r="L28" i="49" s="1"/>
  <c r="L82" i="49"/>
  <c r="AF19" i="49"/>
  <c r="AF28" i="49" s="1"/>
  <c r="AF82" i="49"/>
  <c r="AG103" i="49" l="1"/>
  <c r="AF103" i="49"/>
  <c r="AE103" i="49"/>
  <c r="F47" i="51"/>
  <c r="G47" i="51" s="1"/>
  <c r="F26" i="51"/>
  <c r="G26" i="51" s="1"/>
  <c r="F9" i="51"/>
  <c r="G9" i="51" s="1"/>
  <c r="E32" i="49" l="1"/>
  <c r="E79" i="49" s="1"/>
  <c r="G32" i="49"/>
  <c r="G79" i="49" s="1"/>
  <c r="F32" i="49"/>
  <c r="F79" i="49" s="1"/>
  <c r="K32" i="49"/>
  <c r="K79" i="49" s="1"/>
  <c r="T32" i="49"/>
  <c r="R32" i="49"/>
  <c r="R79" i="49" s="1"/>
  <c r="N32" i="49"/>
  <c r="N79" i="49" s="1"/>
  <c r="J32" i="49"/>
  <c r="J79" i="49" s="1"/>
  <c r="AA32" i="49"/>
  <c r="W32" i="49"/>
  <c r="Q32" i="49"/>
  <c r="Q79" i="49" s="1"/>
  <c r="M32" i="49"/>
  <c r="M79" i="49" s="1"/>
  <c r="I32" i="49"/>
  <c r="I79" i="49" s="1"/>
  <c r="Z32" i="49"/>
  <c r="V32" i="49"/>
  <c r="P32" i="49"/>
  <c r="P79" i="49" s="1"/>
  <c r="L32" i="49"/>
  <c r="L79" i="49" s="1"/>
  <c r="AC32" i="49"/>
  <c r="Y32" i="49"/>
  <c r="U32" i="49"/>
  <c r="O32" i="49"/>
  <c r="O79" i="49" s="1"/>
  <c r="AB32" i="49"/>
  <c r="X32" i="49"/>
  <c r="AF32" i="49"/>
  <c r="AF79" i="49" s="1"/>
  <c r="AG32" i="49"/>
  <c r="AG79" i="49" s="1"/>
  <c r="AE32" i="49"/>
  <c r="AE79" i="49" s="1"/>
  <c r="W79" i="49" l="1"/>
  <c r="W35" i="49"/>
  <c r="AB79" i="49"/>
  <c r="AB35" i="49"/>
  <c r="AA79" i="49"/>
  <c r="AA35" i="49"/>
  <c r="U79" i="49"/>
  <c r="U35" i="49"/>
  <c r="V79" i="49"/>
  <c r="V35" i="49"/>
  <c r="T79" i="49"/>
  <c r="T35" i="49"/>
  <c r="Y79" i="49"/>
  <c r="Y35" i="49"/>
  <c r="Z79" i="49"/>
  <c r="Z35" i="49"/>
  <c r="X79" i="49"/>
  <c r="X35" i="49"/>
  <c r="AC79" i="49"/>
  <c r="AC35" i="49"/>
  <c r="AE81" i="49"/>
  <c r="AE78" i="49"/>
  <c r="AG81" i="49"/>
  <c r="AG78" i="49"/>
  <c r="E81" i="49"/>
  <c r="G81" i="49"/>
  <c r="AF81" i="49"/>
  <c r="AF78" i="49"/>
  <c r="F81" i="49"/>
  <c r="L81" i="49"/>
  <c r="L78" i="49"/>
  <c r="N81" i="49"/>
  <c r="N78" i="49"/>
  <c r="M81" i="49"/>
  <c r="M78" i="49"/>
  <c r="R81" i="49"/>
  <c r="R78" i="49"/>
  <c r="O81" i="49"/>
  <c r="O78" i="49"/>
  <c r="J81" i="49"/>
  <c r="J78" i="49"/>
  <c r="Q81" i="49"/>
  <c r="Q78" i="49"/>
  <c r="K81" i="49"/>
  <c r="K78" i="49"/>
  <c r="P81" i="49"/>
  <c r="P78" i="49"/>
  <c r="I78" i="49"/>
  <c r="I81" i="49"/>
  <c r="F53" i="51"/>
  <c r="F16" i="51"/>
  <c r="F15" i="51"/>
  <c r="E25" i="49" s="1"/>
  <c r="E28" i="49" s="1"/>
  <c r="E22" i="49" s="1"/>
  <c r="F62" i="51"/>
  <c r="G62" i="51" s="1"/>
  <c r="F61" i="51"/>
  <c r="G61" i="51" s="1"/>
  <c r="F60" i="51"/>
  <c r="G60" i="51" s="1"/>
  <c r="F44" i="51"/>
  <c r="G44" i="51" s="1"/>
  <c r="F43" i="51"/>
  <c r="G43" i="51" s="1"/>
  <c r="F23" i="51"/>
  <c r="G23" i="51" s="1"/>
  <c r="F34" i="51"/>
  <c r="G34" i="51" s="1"/>
  <c r="F33" i="51"/>
  <c r="G33" i="51" s="1"/>
  <c r="F32" i="51"/>
  <c r="G32" i="51" s="1"/>
  <c r="F31" i="51"/>
  <c r="G31" i="51" s="1"/>
  <c r="F30" i="51"/>
  <c r="G30" i="51" s="1"/>
  <c r="F51" i="51"/>
  <c r="G51" i="51" s="1"/>
  <c r="F50" i="51"/>
  <c r="G50" i="51" s="1"/>
  <c r="F49" i="51"/>
  <c r="G49" i="51" s="1"/>
  <c r="F12" i="51"/>
  <c r="G12" i="51" s="1"/>
  <c r="F11" i="51"/>
  <c r="G11" i="51" s="1"/>
  <c r="F10" i="51"/>
  <c r="G10" i="51" s="1"/>
  <c r="E80" i="49" l="1"/>
  <c r="E23" i="49"/>
  <c r="AA46" i="49"/>
  <c r="AC46" i="49"/>
  <c r="AB46" i="49"/>
  <c r="X78" i="49"/>
  <c r="X81" i="49"/>
  <c r="V81" i="49"/>
  <c r="V78" i="49"/>
  <c r="AA78" i="49"/>
  <c r="AA81" i="49"/>
  <c r="Y41" i="49"/>
  <c r="T41" i="49"/>
  <c r="U41" i="49"/>
  <c r="Z41" i="49"/>
  <c r="AC78" i="49"/>
  <c r="AC81" i="49"/>
  <c r="Z81" i="49"/>
  <c r="Z78" i="49"/>
  <c r="T78" i="49"/>
  <c r="T81" i="49"/>
  <c r="U78" i="49"/>
  <c r="U81" i="49"/>
  <c r="AB78" i="49"/>
  <c r="AB81" i="49"/>
  <c r="AB41" i="49"/>
  <c r="W41" i="49"/>
  <c r="Y78" i="49"/>
  <c r="Y81" i="49"/>
  <c r="W81" i="49"/>
  <c r="W78" i="49"/>
  <c r="AC41" i="49"/>
  <c r="X41" i="49"/>
  <c r="AA41" i="49"/>
  <c r="V41" i="49"/>
  <c r="Z46" i="49"/>
  <c r="Y46" i="49"/>
  <c r="G15" i="51"/>
  <c r="E42" i="49" s="1"/>
  <c r="F25" i="49"/>
  <c r="F28" i="49" s="1"/>
  <c r="F22" i="49" s="1"/>
  <c r="G16" i="51"/>
  <c r="G25" i="49"/>
  <c r="G28" i="49" s="1"/>
  <c r="G22" i="49" s="1"/>
  <c r="G53" i="51"/>
  <c r="AG25" i="49"/>
  <c r="F41" i="49"/>
  <c r="G41" i="49"/>
  <c r="I41" i="49"/>
  <c r="J41" i="49"/>
  <c r="K41" i="49"/>
  <c r="L41" i="49"/>
  <c r="M41" i="49"/>
  <c r="N41" i="49"/>
  <c r="O41" i="49"/>
  <c r="P41" i="49"/>
  <c r="Q41" i="49"/>
  <c r="R41" i="49"/>
  <c r="AE41" i="49"/>
  <c r="AF41" i="49"/>
  <c r="AG41" i="49"/>
  <c r="G42" i="49"/>
  <c r="I42" i="49"/>
  <c r="J42" i="49"/>
  <c r="N42" i="49"/>
  <c r="O42" i="49"/>
  <c r="AE42" i="49"/>
  <c r="AF42" i="49"/>
  <c r="F43" i="49"/>
  <c r="G43" i="49"/>
  <c r="I43" i="49"/>
  <c r="J43" i="49"/>
  <c r="K43" i="49"/>
  <c r="L43" i="49"/>
  <c r="M43" i="49"/>
  <c r="N43" i="49"/>
  <c r="O43" i="49"/>
  <c r="P43" i="49"/>
  <c r="Q43" i="49"/>
  <c r="R43" i="49"/>
  <c r="AE43" i="49"/>
  <c r="AF43" i="49"/>
  <c r="AG43" i="49"/>
  <c r="I66" i="49"/>
  <c r="J66" i="49"/>
  <c r="K66" i="49"/>
  <c r="L66" i="49"/>
  <c r="M66" i="49"/>
  <c r="N66" i="49"/>
  <c r="O66" i="49"/>
  <c r="P66" i="49"/>
  <c r="Q66" i="49"/>
  <c r="R66" i="49"/>
  <c r="I67" i="49"/>
  <c r="J67" i="49"/>
  <c r="K67" i="49"/>
  <c r="L67" i="49"/>
  <c r="M67" i="49"/>
  <c r="N67" i="49"/>
  <c r="O67" i="49"/>
  <c r="P67" i="49"/>
  <c r="Q67" i="49"/>
  <c r="R67" i="49"/>
  <c r="F46" i="49"/>
  <c r="G46" i="49"/>
  <c r="I46" i="49"/>
  <c r="J46" i="49"/>
  <c r="K46" i="49"/>
  <c r="L46" i="49"/>
  <c r="M46" i="49"/>
  <c r="N46" i="49"/>
  <c r="O46" i="49"/>
  <c r="P46" i="49"/>
  <c r="Q46" i="49"/>
  <c r="R46" i="49"/>
  <c r="AE46" i="49"/>
  <c r="AF46" i="49"/>
  <c r="AG46" i="49"/>
  <c r="F47" i="49"/>
  <c r="G47" i="49"/>
  <c r="I47" i="49"/>
  <c r="J47" i="49"/>
  <c r="K47" i="49"/>
  <c r="L47" i="49"/>
  <c r="M47" i="49"/>
  <c r="N47" i="49"/>
  <c r="O47" i="49"/>
  <c r="P47" i="49"/>
  <c r="Q47" i="49"/>
  <c r="R47" i="49"/>
  <c r="AE47" i="49"/>
  <c r="AF47" i="49"/>
  <c r="AG47" i="49"/>
  <c r="E41" i="49"/>
  <c r="E43" i="49"/>
  <c r="E46" i="49"/>
  <c r="E47" i="49"/>
  <c r="AG42" i="49"/>
  <c r="F42" i="49"/>
  <c r="F22" i="51"/>
  <c r="G22" i="51" s="1"/>
  <c r="F21" i="51"/>
  <c r="G21" i="51" s="1"/>
  <c r="F20" i="51"/>
  <c r="G20" i="51" s="1"/>
  <c r="F19" i="51"/>
  <c r="G19" i="51" s="1"/>
  <c r="F18" i="51"/>
  <c r="G18" i="51" s="1"/>
  <c r="F17" i="51"/>
  <c r="G17" i="51" s="1"/>
  <c r="F25" i="51"/>
  <c r="G25" i="51" s="1"/>
  <c r="F8" i="51"/>
  <c r="G8" i="51" s="1"/>
  <c r="E9" i="60" s="1"/>
  <c r="E10" i="60" s="1"/>
  <c r="E14" i="60" s="1"/>
  <c r="F46" i="51"/>
  <c r="G46" i="51" s="1"/>
  <c r="K9" i="60" s="1"/>
  <c r="K10" i="60" s="1"/>
  <c r="K14" i="60" s="1"/>
  <c r="F45" i="49" l="1"/>
  <c r="E25" i="59"/>
  <c r="E20" i="59" s="1"/>
  <c r="I9" i="60"/>
  <c r="I10" i="60" s="1"/>
  <c r="I14" i="60" s="1"/>
  <c r="I23" i="60" s="1"/>
  <c r="G9" i="60"/>
  <c r="G10" i="60" s="1"/>
  <c r="G14" i="60" s="1"/>
  <c r="K23" i="60"/>
  <c r="K16" i="60"/>
  <c r="E23" i="60"/>
  <c r="E16" i="60"/>
  <c r="G9" i="59"/>
  <c r="I9" i="59"/>
  <c r="F67" i="49"/>
  <c r="G68" i="49"/>
  <c r="F44" i="49"/>
  <c r="K9" i="59"/>
  <c r="G65" i="49"/>
  <c r="E9" i="59"/>
  <c r="E66" i="49"/>
  <c r="E87" i="49"/>
  <c r="E78" i="49"/>
  <c r="AE40" i="49"/>
  <c r="F40" i="49"/>
  <c r="K40" i="49"/>
  <c r="AA40" i="49"/>
  <c r="W40" i="49"/>
  <c r="Z40" i="49"/>
  <c r="V40" i="49"/>
  <c r="AC40" i="49"/>
  <c r="Y40" i="49"/>
  <c r="U40" i="49"/>
  <c r="AB40" i="49"/>
  <c r="X40" i="49"/>
  <c r="T40" i="49"/>
  <c r="G80" i="49"/>
  <c r="G23" i="49"/>
  <c r="F23" i="49"/>
  <c r="F80" i="49"/>
  <c r="F40" i="51"/>
  <c r="G40" i="51" s="1"/>
  <c r="F59" i="51"/>
  <c r="G59" i="51" s="1"/>
  <c r="F42" i="51"/>
  <c r="G42" i="51" s="1"/>
  <c r="F41" i="51"/>
  <c r="G41" i="51" s="1"/>
  <c r="F58" i="51"/>
  <c r="G58" i="51" s="1"/>
  <c r="F55" i="51"/>
  <c r="G55" i="51" s="1"/>
  <c r="F57" i="51"/>
  <c r="G57" i="51" s="1"/>
  <c r="F39" i="51"/>
  <c r="G39" i="51" s="1"/>
  <c r="F54" i="51"/>
  <c r="G54" i="51" s="1"/>
  <c r="F56" i="51"/>
  <c r="G56" i="51" s="1"/>
  <c r="L68" i="49"/>
  <c r="E40" i="49"/>
  <c r="E67" i="49"/>
  <c r="E65" i="49"/>
  <c r="G66" i="49"/>
  <c r="R40" i="49"/>
  <c r="F65" i="49"/>
  <c r="N40" i="49"/>
  <c r="E68" i="49"/>
  <c r="F68" i="49"/>
  <c r="J40" i="49"/>
  <c r="E45" i="49"/>
  <c r="G67" i="49"/>
  <c r="F66" i="49"/>
  <c r="AG40" i="49"/>
  <c r="Q40" i="49"/>
  <c r="M40" i="49"/>
  <c r="I40" i="49"/>
  <c r="E44" i="49"/>
  <c r="G45" i="49"/>
  <c r="G44" i="49"/>
  <c r="AF40" i="49"/>
  <c r="P40" i="49"/>
  <c r="L40" i="49"/>
  <c r="G40" i="49"/>
  <c r="O40" i="49"/>
  <c r="AE45" i="49" l="1"/>
  <c r="K25" i="59"/>
  <c r="K20" i="59" s="1"/>
  <c r="K45" i="49"/>
  <c r="G25" i="59"/>
  <c r="G20" i="59" s="1"/>
  <c r="I25" i="59"/>
  <c r="I20" i="59" s="1"/>
  <c r="K26" i="60"/>
  <c r="K25" i="60"/>
  <c r="E26" i="60"/>
  <c r="E25" i="60"/>
  <c r="G23" i="60"/>
  <c r="G16" i="60"/>
  <c r="I16" i="60"/>
  <c r="F48" i="49"/>
  <c r="AF66" i="49"/>
  <c r="AF65" i="49"/>
  <c r="AF68" i="49"/>
  <c r="G10" i="59"/>
  <c r="G14" i="59" s="1"/>
  <c r="G22" i="59" s="1"/>
  <c r="E10" i="59"/>
  <c r="AG67" i="49"/>
  <c r="AE44" i="49"/>
  <c r="K10" i="59"/>
  <c r="K14" i="59" s="1"/>
  <c r="K22" i="59" s="1"/>
  <c r="F64" i="49"/>
  <c r="G64" i="49"/>
  <c r="E64" i="49"/>
  <c r="E48" i="49"/>
  <c r="G48" i="49"/>
  <c r="F37" i="51"/>
  <c r="G37" i="51" s="1"/>
  <c r="F38" i="51"/>
  <c r="G38" i="51" s="1"/>
  <c r="R44" i="49"/>
  <c r="AA44" i="49"/>
  <c r="W44" i="49"/>
  <c r="Z44" i="49"/>
  <c r="V44" i="49"/>
  <c r="AC44" i="49"/>
  <c r="Y44" i="49"/>
  <c r="U44" i="49"/>
  <c r="AB44" i="49"/>
  <c r="X44" i="49"/>
  <c r="T44" i="49"/>
  <c r="L65" i="49"/>
  <c r="AC65" i="49"/>
  <c r="Y65" i="49"/>
  <c r="U65" i="49"/>
  <c r="AB65" i="49"/>
  <c r="X65" i="49"/>
  <c r="T65" i="49"/>
  <c r="AA65" i="49"/>
  <c r="W65" i="49"/>
  <c r="Z65" i="49"/>
  <c r="V65" i="49"/>
  <c r="J68" i="49"/>
  <c r="AC68" i="49"/>
  <c r="Y68" i="49"/>
  <c r="U68" i="49"/>
  <c r="AB68" i="49"/>
  <c r="X68" i="49"/>
  <c r="T68" i="49"/>
  <c r="AA68" i="49"/>
  <c r="W68" i="49"/>
  <c r="Z68" i="49"/>
  <c r="V68" i="49"/>
  <c r="F87" i="49"/>
  <c r="F78" i="49"/>
  <c r="G87" i="49"/>
  <c r="G78" i="49"/>
  <c r="F35" i="51"/>
  <c r="G35" i="51" s="1"/>
  <c r="N44" i="49"/>
  <c r="K68" i="49"/>
  <c r="R68" i="49"/>
  <c r="P68" i="49"/>
  <c r="M68" i="49"/>
  <c r="AG44" i="49"/>
  <c r="P44" i="49"/>
  <c r="M44" i="49"/>
  <c r="AE65" i="49"/>
  <c r="P45" i="49"/>
  <c r="Q44" i="49"/>
  <c r="AF67" i="49"/>
  <c r="AE67" i="49"/>
  <c r="AF44" i="49"/>
  <c r="AE66" i="49"/>
  <c r="O44" i="49"/>
  <c r="AG65" i="49"/>
  <c r="R45" i="49"/>
  <c r="AG66" i="49"/>
  <c r="K44" i="49"/>
  <c r="L44" i="49"/>
  <c r="I44" i="49"/>
  <c r="J44" i="49"/>
  <c r="M65" i="49"/>
  <c r="M45" i="49"/>
  <c r="N45" i="49"/>
  <c r="J65" i="49"/>
  <c r="I65" i="49"/>
  <c r="K65" i="49"/>
  <c r="I68" i="49"/>
  <c r="O68" i="49"/>
  <c r="Q45" i="49"/>
  <c r="O45" i="49"/>
  <c r="L45" i="49"/>
  <c r="Q68" i="49"/>
  <c r="I45" i="49"/>
  <c r="N68" i="49"/>
  <c r="J45" i="49"/>
  <c r="Q65" i="49"/>
  <c r="AG68" i="49"/>
  <c r="N65" i="49"/>
  <c r="P65" i="49"/>
  <c r="R65" i="49"/>
  <c r="O65" i="49"/>
  <c r="AG45" i="49"/>
  <c r="AE68" i="49"/>
  <c r="AF45" i="49"/>
  <c r="AE48" i="49" l="1"/>
  <c r="K21" i="59"/>
  <c r="G21" i="59"/>
  <c r="E14" i="59"/>
  <c r="I26" i="60"/>
  <c r="I25" i="60"/>
  <c r="G26" i="60"/>
  <c r="G25" i="60"/>
  <c r="I10" i="59"/>
  <c r="AF64" i="49"/>
  <c r="T48" i="49"/>
  <c r="Y48" i="49"/>
  <c r="R64" i="49"/>
  <c r="Q64" i="49"/>
  <c r="L64" i="49"/>
  <c r="U48" i="49"/>
  <c r="U52" i="49" s="1"/>
  <c r="U97" i="49" s="1"/>
  <c r="Z48" i="49"/>
  <c r="Z52" i="49" s="1"/>
  <c r="Z97" i="49" s="1"/>
  <c r="N64" i="49"/>
  <c r="J48" i="49"/>
  <c r="O64" i="49"/>
  <c r="I64" i="49"/>
  <c r="K64" i="49"/>
  <c r="N48" i="49"/>
  <c r="M64" i="49"/>
  <c r="O48" i="49"/>
  <c r="V64" i="49"/>
  <c r="T64" i="49"/>
  <c r="Y64" i="49"/>
  <c r="Z64" i="49"/>
  <c r="X64" i="49"/>
  <c r="AC64" i="49"/>
  <c r="J64" i="49"/>
  <c r="I48" i="49"/>
  <c r="AF48" i="49"/>
  <c r="AG48" i="49"/>
  <c r="W64" i="49"/>
  <c r="AB64" i="49"/>
  <c r="AG64" i="49"/>
  <c r="AE64" i="49"/>
  <c r="AA64" i="49"/>
  <c r="U64" i="49"/>
  <c r="P64" i="49"/>
  <c r="T52" i="49"/>
  <c r="Y52" i="49"/>
  <c r="AA42" i="49"/>
  <c r="W42" i="49"/>
  <c r="V42" i="49"/>
  <c r="AC42" i="49"/>
  <c r="AB42" i="49"/>
  <c r="X42" i="49"/>
  <c r="F36" i="51"/>
  <c r="E33" i="59" l="1"/>
  <c r="E36" i="59" s="1"/>
  <c r="E22" i="59"/>
  <c r="E21" i="59" s="1"/>
  <c r="I14" i="59"/>
  <c r="I22" i="59" s="1"/>
  <c r="I21" i="59" s="1"/>
  <c r="E16" i="59"/>
  <c r="G33" i="59"/>
  <c r="Y93" i="49"/>
  <c r="Y97" i="49"/>
  <c r="T95" i="49"/>
  <c r="T97" i="49"/>
  <c r="Y95" i="49"/>
  <c r="Z54" i="49"/>
  <c r="Z72" i="49" s="1"/>
  <c r="Z74" i="49" s="1"/>
  <c r="Z96" i="49"/>
  <c r="Z92" i="49"/>
  <c r="Z91" i="49"/>
  <c r="Z93" i="49"/>
  <c r="Z95" i="49"/>
  <c r="Z94" i="49"/>
  <c r="T93" i="49"/>
  <c r="U54" i="49"/>
  <c r="U72" i="49" s="1"/>
  <c r="U83" i="49" s="1"/>
  <c r="U92" i="49"/>
  <c r="U91" i="49"/>
  <c r="U96" i="49"/>
  <c r="U93" i="49"/>
  <c r="U94" i="49"/>
  <c r="U95" i="49"/>
  <c r="T54" i="49"/>
  <c r="T72" i="49" s="1"/>
  <c r="T105" i="49" s="1"/>
  <c r="T108" i="49" s="1"/>
  <c r="T92" i="49"/>
  <c r="T91" i="49"/>
  <c r="T96" i="49"/>
  <c r="T94" i="49"/>
  <c r="Y54" i="49"/>
  <c r="Y72" i="49" s="1"/>
  <c r="Y74" i="49" s="1"/>
  <c r="Y96" i="49"/>
  <c r="Y92" i="49"/>
  <c r="Y91" i="49"/>
  <c r="Y94" i="49"/>
  <c r="X48" i="49"/>
  <c r="X52" i="49" s="1"/>
  <c r="X97" i="49" s="1"/>
  <c r="AB48" i="49"/>
  <c r="AB52" i="49" s="1"/>
  <c r="AB97" i="49" s="1"/>
  <c r="AA48" i="49"/>
  <c r="AA52" i="49" s="1"/>
  <c r="AA97" i="49" s="1"/>
  <c r="V48" i="49"/>
  <c r="V52" i="49" s="1"/>
  <c r="V97" i="49" s="1"/>
  <c r="W48" i="49"/>
  <c r="W52" i="49" s="1"/>
  <c r="W97" i="49" s="1"/>
  <c r="AC48" i="49"/>
  <c r="AC52" i="49" s="1"/>
  <c r="AA25" i="49"/>
  <c r="W25" i="49"/>
  <c r="V25" i="49"/>
  <c r="AC25" i="49"/>
  <c r="AB25" i="49"/>
  <c r="X25" i="49"/>
  <c r="G36" i="51"/>
  <c r="R25" i="49"/>
  <c r="Q25" i="49"/>
  <c r="M25" i="49"/>
  <c r="K25" i="49"/>
  <c r="P25" i="49"/>
  <c r="L25" i="49"/>
  <c r="R42" i="49"/>
  <c r="Q42" i="49"/>
  <c r="K42" i="49"/>
  <c r="P42" i="49"/>
  <c r="L42" i="49"/>
  <c r="M42" i="49"/>
  <c r="AG30" i="49"/>
  <c r="AF30" i="49"/>
  <c r="AE30" i="49"/>
  <c r="R30" i="49"/>
  <c r="Q30" i="49"/>
  <c r="P30" i="49"/>
  <c r="O30" i="49"/>
  <c r="N30" i="49"/>
  <c r="M30" i="49"/>
  <c r="L30" i="49"/>
  <c r="K30" i="49"/>
  <c r="J30" i="49"/>
  <c r="I30" i="49"/>
  <c r="G30" i="49"/>
  <c r="E30" i="49"/>
  <c r="F30" i="49"/>
  <c r="E35" i="59" l="1"/>
  <c r="G16" i="59"/>
  <c r="G35" i="59"/>
  <c r="G36" i="59"/>
  <c r="I33" i="59"/>
  <c r="I16" i="59"/>
  <c r="K16" i="59"/>
  <c r="K33" i="59"/>
  <c r="U90" i="49"/>
  <c r="AC92" i="49"/>
  <c r="AC97" i="49"/>
  <c r="W92" i="49"/>
  <c r="Y105" i="49"/>
  <c r="Y108" i="49" s="1"/>
  <c r="Z83" i="49"/>
  <c r="U84" i="49" s="1"/>
  <c r="U88" i="49" s="1"/>
  <c r="R48" i="49"/>
  <c r="V54" i="49"/>
  <c r="V72" i="49" s="1"/>
  <c r="V74" i="49" s="1"/>
  <c r="V91" i="49"/>
  <c r="V96" i="49"/>
  <c r="V93" i="49"/>
  <c r="V95" i="49"/>
  <c r="V94" i="49"/>
  <c r="Y83" i="49"/>
  <c r="AA54" i="49"/>
  <c r="AA72" i="49" s="1"/>
  <c r="AA83" i="49" s="1"/>
  <c r="AA96" i="49"/>
  <c r="AA91" i="49"/>
  <c r="AA93" i="49"/>
  <c r="AA95" i="49"/>
  <c r="AA94" i="49"/>
  <c r="V92" i="49"/>
  <c r="AA92" i="49"/>
  <c r="M48" i="49"/>
  <c r="Q48" i="49"/>
  <c r="AC54" i="49"/>
  <c r="AC72" i="49" s="1"/>
  <c r="AC74" i="49" s="1"/>
  <c r="AC96" i="49"/>
  <c r="AC91" i="49"/>
  <c r="AC94" i="49"/>
  <c r="AC93" i="49"/>
  <c r="AC95" i="49"/>
  <c r="X54" i="49"/>
  <c r="X72" i="49" s="1"/>
  <c r="X83" i="49" s="1"/>
  <c r="X91" i="49"/>
  <c r="X96" i="49"/>
  <c r="X93" i="49"/>
  <c r="X94" i="49"/>
  <c r="X95" i="49"/>
  <c r="L48" i="49"/>
  <c r="W54" i="49"/>
  <c r="W72" i="49" s="1"/>
  <c r="W83" i="49" s="1"/>
  <c r="W96" i="49"/>
  <c r="W91" i="49"/>
  <c r="W94" i="49"/>
  <c r="W95" i="49"/>
  <c r="W93" i="49"/>
  <c r="P48" i="49"/>
  <c r="K48" i="49"/>
  <c r="AB54" i="49"/>
  <c r="AB72" i="49" s="1"/>
  <c r="AB74" i="49" s="1"/>
  <c r="AB96" i="49"/>
  <c r="AB91" i="49"/>
  <c r="AB93" i="49"/>
  <c r="AB94" i="49"/>
  <c r="AB95" i="49"/>
  <c r="AB92" i="49"/>
  <c r="X92" i="49"/>
  <c r="T83" i="49"/>
  <c r="T90" i="49" s="1"/>
  <c r="T74" i="49"/>
  <c r="Z105" i="49"/>
  <c r="Z107" i="49" s="1"/>
  <c r="U105" i="49"/>
  <c r="U108" i="49" s="1"/>
  <c r="U74" i="49"/>
  <c r="T107" i="49"/>
  <c r="E35" i="49"/>
  <c r="E52" i="49" s="1"/>
  <c r="E97" i="49" s="1"/>
  <c r="E29" i="49"/>
  <c r="K35" i="49"/>
  <c r="K29" i="49"/>
  <c r="O35" i="49"/>
  <c r="O52" i="49" s="1"/>
  <c r="O97" i="49" s="1"/>
  <c r="O29" i="49"/>
  <c r="AE35" i="49"/>
  <c r="AE52" i="49" s="1"/>
  <c r="AE97" i="49" s="1"/>
  <c r="AE29" i="49"/>
  <c r="G35" i="49"/>
  <c r="G52" i="49" s="1"/>
  <c r="G97" i="49" s="1"/>
  <c r="G29" i="49"/>
  <c r="L35" i="49"/>
  <c r="L29" i="49"/>
  <c r="P35" i="49"/>
  <c r="P29" i="49"/>
  <c r="AF35" i="49"/>
  <c r="AF52" i="49" s="1"/>
  <c r="AF97" i="49" s="1"/>
  <c r="AF29" i="49"/>
  <c r="I35" i="49"/>
  <c r="I29" i="49"/>
  <c r="M35" i="49"/>
  <c r="M29" i="49"/>
  <c r="Q35" i="49"/>
  <c r="Q29" i="49"/>
  <c r="AG35" i="49"/>
  <c r="AG52" i="49" s="1"/>
  <c r="AG97" i="49" s="1"/>
  <c r="AG29" i="49"/>
  <c r="F35" i="49"/>
  <c r="F52" i="49" s="1"/>
  <c r="F97" i="49" s="1"/>
  <c r="F29" i="49"/>
  <c r="J35" i="49"/>
  <c r="J52" i="49" s="1"/>
  <c r="J97" i="49" s="1"/>
  <c r="J29" i="49"/>
  <c r="N35" i="49"/>
  <c r="N52" i="49" s="1"/>
  <c r="N97" i="49" s="1"/>
  <c r="N29" i="49"/>
  <c r="R35" i="49"/>
  <c r="R29" i="49"/>
  <c r="I52" i="49"/>
  <c r="I97" i="49" s="1"/>
  <c r="F126" i="47"/>
  <c r="G126" i="47" s="1"/>
  <c r="F127" i="47"/>
  <c r="G127" i="47" s="1"/>
  <c r="F128" i="47"/>
  <c r="G128" i="47" s="1"/>
  <c r="E129" i="47"/>
  <c r="H129" i="47"/>
  <c r="I36" i="59" l="1"/>
  <c r="I35" i="59"/>
  <c r="K35" i="59"/>
  <c r="K36" i="59"/>
  <c r="K52" i="49"/>
  <c r="K97" i="49" s="1"/>
  <c r="AA85" i="49"/>
  <c r="AA90" i="49"/>
  <c r="W90" i="49"/>
  <c r="Y85" i="49"/>
  <c r="Y90" i="49"/>
  <c r="Z85" i="49"/>
  <c r="Z90" i="49"/>
  <c r="X90" i="49"/>
  <c r="Y107" i="49"/>
  <c r="Q52" i="49"/>
  <c r="Q92" i="49" s="1"/>
  <c r="P52" i="49"/>
  <c r="P97" i="49" s="1"/>
  <c r="AB105" i="49"/>
  <c r="V83" i="49"/>
  <c r="R52" i="49"/>
  <c r="R95" i="49" s="1"/>
  <c r="X105" i="49"/>
  <c r="X108" i="49" s="1"/>
  <c r="AA105" i="49"/>
  <c r="AA107" i="49" s="1"/>
  <c r="X74" i="49"/>
  <c r="W105" i="49"/>
  <c r="W107" i="49" s="1"/>
  <c r="AA74" i="49"/>
  <c r="W74" i="49"/>
  <c r="AC83" i="49"/>
  <c r="T84" i="49"/>
  <c r="T88" i="49" s="1"/>
  <c r="F54" i="49"/>
  <c r="F72" i="49" s="1"/>
  <c r="F105" i="49" s="1"/>
  <c r="F96" i="49"/>
  <c r="F93" i="49"/>
  <c r="F91" i="49"/>
  <c r="F92" i="49"/>
  <c r="F94" i="49"/>
  <c r="F95" i="49"/>
  <c r="O54" i="49"/>
  <c r="O72" i="49" s="1"/>
  <c r="O74" i="49" s="1"/>
  <c r="O96" i="49"/>
  <c r="O92" i="49"/>
  <c r="O91" i="49"/>
  <c r="O93" i="49"/>
  <c r="O95" i="49"/>
  <c r="O94" i="49"/>
  <c r="AB83" i="49"/>
  <c r="I54" i="49"/>
  <c r="I72" i="49" s="1"/>
  <c r="I105" i="49" s="1"/>
  <c r="I96" i="49"/>
  <c r="I91" i="49"/>
  <c r="I92" i="49"/>
  <c r="I95" i="49"/>
  <c r="I93" i="49"/>
  <c r="I94" i="49"/>
  <c r="N54" i="49"/>
  <c r="N72" i="49" s="1"/>
  <c r="N83" i="49" s="1"/>
  <c r="N91" i="49"/>
  <c r="N92" i="49"/>
  <c r="N96" i="49"/>
  <c r="N94" i="49"/>
  <c r="N95" i="49"/>
  <c r="N93" i="49"/>
  <c r="G95" i="49"/>
  <c r="G92" i="49"/>
  <c r="G91" i="49"/>
  <c r="G94" i="49"/>
  <c r="G93" i="49"/>
  <c r="G96" i="49"/>
  <c r="E54" i="49"/>
  <c r="E72" i="49" s="1"/>
  <c r="E92" i="49"/>
  <c r="E91" i="49"/>
  <c r="E96" i="49"/>
  <c r="E94" i="49"/>
  <c r="E95" i="49"/>
  <c r="E93" i="49"/>
  <c r="AC105" i="49"/>
  <c r="AC108" i="49" s="1"/>
  <c r="J54" i="49"/>
  <c r="J72" i="49" s="1"/>
  <c r="J74" i="49" s="1"/>
  <c r="J92" i="49"/>
  <c r="J96" i="49"/>
  <c r="J91" i="49"/>
  <c r="J93" i="49"/>
  <c r="J94" i="49"/>
  <c r="J95" i="49"/>
  <c r="AG54" i="49"/>
  <c r="AG72" i="49" s="1"/>
  <c r="AG91" i="49"/>
  <c r="AG92" i="49"/>
  <c r="AG96" i="49"/>
  <c r="AG94" i="49"/>
  <c r="AG93" i="49"/>
  <c r="AG95" i="49"/>
  <c r="M52" i="49"/>
  <c r="M97" i="49" s="1"/>
  <c r="AF54" i="49"/>
  <c r="AF72" i="49" s="1"/>
  <c r="AF83" i="49" s="1"/>
  <c r="AF91" i="49"/>
  <c r="AF92" i="49"/>
  <c r="AF95" i="49"/>
  <c r="AF94" i="49"/>
  <c r="AF96" i="49"/>
  <c r="AF93" i="49"/>
  <c r="L52" i="49"/>
  <c r="L97" i="49" s="1"/>
  <c r="AE54" i="49"/>
  <c r="AE72" i="49" s="1"/>
  <c r="AE91" i="49"/>
  <c r="AE92" i="49"/>
  <c r="AE93" i="49"/>
  <c r="AE95" i="49"/>
  <c r="AE96" i="49"/>
  <c r="AE94" i="49"/>
  <c r="V105" i="49"/>
  <c r="V108" i="49" s="1"/>
  <c r="Z108" i="49"/>
  <c r="U107" i="49"/>
  <c r="G54" i="49"/>
  <c r="G72" i="49" s="1"/>
  <c r="U85" i="49"/>
  <c r="F129" i="47"/>
  <c r="E133" i="47" a="1"/>
  <c r="G129" i="47"/>
  <c r="K95" i="49" l="1"/>
  <c r="K54" i="49"/>
  <c r="K72" i="49" s="1"/>
  <c r="K74" i="49" s="1"/>
  <c r="K92" i="49"/>
  <c r="K94" i="49"/>
  <c r="K91" i="49"/>
  <c r="K93" i="49"/>
  <c r="K96" i="49"/>
  <c r="AB107" i="49"/>
  <c r="N74" i="49"/>
  <c r="AB108" i="49"/>
  <c r="X107" i="49"/>
  <c r="N85" i="49"/>
  <c r="N90" i="49"/>
  <c r="P54" i="49"/>
  <c r="P72" i="49" s="1"/>
  <c r="P83" i="49" s="1"/>
  <c r="AB85" i="49"/>
  <c r="AB90" i="49"/>
  <c r="AC85" i="49"/>
  <c r="AC90" i="49"/>
  <c r="V84" i="49"/>
  <c r="V85" i="49" s="1"/>
  <c r="V88" i="49" s="1"/>
  <c r="V90" i="49"/>
  <c r="AF90" i="49"/>
  <c r="R93" i="49"/>
  <c r="Q93" i="49"/>
  <c r="W108" i="49"/>
  <c r="F83" i="49"/>
  <c r="F90" i="49" s="1"/>
  <c r="P93" i="49"/>
  <c r="Q96" i="49"/>
  <c r="R91" i="49"/>
  <c r="Q91" i="49"/>
  <c r="Q97" i="49"/>
  <c r="X84" i="49"/>
  <c r="X85" i="49" s="1"/>
  <c r="R54" i="49"/>
  <c r="R72" i="49" s="1"/>
  <c r="R83" i="49" s="1"/>
  <c r="T85" i="49"/>
  <c r="I83" i="49"/>
  <c r="O105" i="49"/>
  <c r="R96" i="49"/>
  <c r="P94" i="49"/>
  <c r="P91" i="49"/>
  <c r="Q95" i="49"/>
  <c r="R94" i="49"/>
  <c r="P95" i="49"/>
  <c r="O83" i="49"/>
  <c r="AA108" i="49"/>
  <c r="P92" i="49"/>
  <c r="P96" i="49"/>
  <c r="Q94" i="49"/>
  <c r="Q54" i="49"/>
  <c r="Q72" i="49" s="1"/>
  <c r="Q74" i="49" s="1"/>
  <c r="N105" i="49"/>
  <c r="W84" i="49"/>
  <c r="W85" i="49" s="1"/>
  <c r="R92" i="49"/>
  <c r="R97" i="49"/>
  <c r="F74" i="49"/>
  <c r="AF105" i="49"/>
  <c r="AF85" i="49"/>
  <c r="J83" i="49"/>
  <c r="J90" i="49" s="1"/>
  <c r="I74" i="49"/>
  <c r="J105" i="49"/>
  <c r="J108" i="49" s="1"/>
  <c r="AC107" i="49"/>
  <c r="AF74" i="49"/>
  <c r="V107" i="49"/>
  <c r="L54" i="49"/>
  <c r="L72" i="49" s="1"/>
  <c r="L91" i="49"/>
  <c r="L96" i="49"/>
  <c r="L94" i="49"/>
  <c r="L95" i="49"/>
  <c r="L93" i="49"/>
  <c r="L92" i="49"/>
  <c r="M54" i="49"/>
  <c r="M72" i="49" s="1"/>
  <c r="M91" i="49"/>
  <c r="M96" i="49"/>
  <c r="M93" i="49"/>
  <c r="M94" i="49"/>
  <c r="M95" i="49"/>
  <c r="M92" i="49"/>
  <c r="AE74" i="49"/>
  <c r="AE105" i="49"/>
  <c r="AE83" i="49"/>
  <c r="G74" i="49"/>
  <c r="G105" i="49"/>
  <c r="G108" i="49" s="1"/>
  <c r="G83" i="49"/>
  <c r="G90" i="49" s="1"/>
  <c r="E74" i="49"/>
  <c r="E105" i="49"/>
  <c r="E107" i="49" s="1"/>
  <c r="E83" i="49"/>
  <c r="AG105" i="49"/>
  <c r="AG108" i="49" s="1"/>
  <c r="AG74" i="49"/>
  <c r="AG83" i="49"/>
  <c r="F107" i="49"/>
  <c r="F108" i="49"/>
  <c r="I108" i="49"/>
  <c r="I107" i="49"/>
  <c r="G134" i="47"/>
  <c r="F135" i="47"/>
  <c r="F143" i="47" s="1"/>
  <c r="E133" i="47"/>
  <c r="G133" i="47"/>
  <c r="H134" i="47"/>
  <c r="H142" i="47" s="1"/>
  <c r="H135" i="47"/>
  <c r="H143" i="47" s="1"/>
  <c r="H133" i="47"/>
  <c r="G135" i="47"/>
  <c r="F134" i="47"/>
  <c r="E134" i="47"/>
  <c r="E135" i="47"/>
  <c r="F133" i="47"/>
  <c r="W88" i="49" l="1"/>
  <c r="K105" i="49"/>
  <c r="K108" i="49" s="1"/>
  <c r="K83" i="49"/>
  <c r="K84" i="49" s="1"/>
  <c r="K85" i="49" s="1"/>
  <c r="O108" i="49"/>
  <c r="R85" i="49"/>
  <c r="R90" i="49"/>
  <c r="P74" i="49"/>
  <c r="P105" i="49"/>
  <c r="P107" i="49" s="1"/>
  <c r="E85" i="49"/>
  <c r="E90" i="49"/>
  <c r="P85" i="49"/>
  <c r="P90" i="49"/>
  <c r="AG85" i="49"/>
  <c r="AG90" i="49"/>
  <c r="J107" i="49"/>
  <c r="AE85" i="49"/>
  <c r="AE90" i="49"/>
  <c r="F85" i="49"/>
  <c r="O85" i="49"/>
  <c r="O90" i="49"/>
  <c r="I84" i="49"/>
  <c r="I88" i="49" s="1"/>
  <c r="I90" i="49"/>
  <c r="X88" i="49"/>
  <c r="O107" i="49"/>
  <c r="R74" i="49"/>
  <c r="J84" i="49"/>
  <c r="J88" i="49" s="1"/>
  <c r="N107" i="49"/>
  <c r="AF108" i="49"/>
  <c r="N108" i="49"/>
  <c r="R105" i="49"/>
  <c r="Q105" i="49"/>
  <c r="Q83" i="49"/>
  <c r="Q90" i="49" s="1"/>
  <c r="E108" i="49"/>
  <c r="AF107" i="49"/>
  <c r="L105" i="49"/>
  <c r="L83" i="49"/>
  <c r="L90" i="49" s="1"/>
  <c r="L74" i="49"/>
  <c r="M74" i="49"/>
  <c r="M105" i="49"/>
  <c r="M83" i="49"/>
  <c r="G85" i="49"/>
  <c r="G107" i="49"/>
  <c r="AG107" i="49"/>
  <c r="AE107" i="49"/>
  <c r="AE108" i="49"/>
  <c r="F142" i="47"/>
  <c r="F136" i="47"/>
  <c r="F141" i="47"/>
  <c r="G143" i="47"/>
  <c r="G141" i="47"/>
  <c r="G136" i="47"/>
  <c r="H141" i="47"/>
  <c r="H144" i="47" s="1"/>
  <c r="H136" i="47"/>
  <c r="E136" i="47"/>
  <c r="G142" i="47"/>
  <c r="K90" i="49" l="1"/>
  <c r="K107" i="49"/>
  <c r="I85" i="49"/>
  <c r="K88" i="49"/>
  <c r="J85" i="49"/>
  <c r="P108" i="49"/>
  <c r="M84" i="49"/>
  <c r="M85" i="49" s="1"/>
  <c r="M88" i="49" s="1"/>
  <c r="M90" i="49"/>
  <c r="R108" i="49"/>
  <c r="R107" i="49"/>
  <c r="Q85" i="49"/>
  <c r="Q107" i="49"/>
  <c r="Q108" i="49"/>
  <c r="L84" i="49"/>
  <c r="M108" i="49"/>
  <c r="M107" i="49"/>
  <c r="L108" i="49"/>
  <c r="L107" i="49"/>
  <c r="F144" i="47"/>
  <c r="G144" i="47"/>
  <c r="L85" i="49" l="1"/>
  <c r="L88" i="49" s="1"/>
</calcChain>
</file>

<file path=xl/sharedStrings.xml><?xml version="1.0" encoding="utf-8"?>
<sst xmlns="http://schemas.openxmlformats.org/spreadsheetml/2006/main" count="922" uniqueCount="294">
  <si>
    <t>Notes</t>
  </si>
  <si>
    <t>unlocked</t>
  </si>
  <si>
    <t>locked</t>
  </si>
  <si>
    <t>Calculation</t>
  </si>
  <si>
    <t>Output</t>
  </si>
  <si>
    <t>Highlight</t>
  </si>
  <si>
    <t>A cell that is special in some way</t>
  </si>
  <si>
    <t>Text</t>
  </si>
  <si>
    <t>Number</t>
  </si>
  <si>
    <t>Currency</t>
  </si>
  <si>
    <t>Percentage</t>
  </si>
  <si>
    <t>Percentage (2dp)</t>
  </si>
  <si>
    <t>Date</t>
  </si>
  <si>
    <t>A key result from this part of the model (in particular one that will be used elsewhere in the model)</t>
  </si>
  <si>
    <t>Comma</t>
  </si>
  <si>
    <t>Percent</t>
  </si>
  <si>
    <t>Number
(2dp)</t>
  </si>
  <si>
    <t>Currency
(2dp)</t>
  </si>
  <si>
    <t>Currency Dollar (2dp)</t>
  </si>
  <si>
    <t>Currency Dollar</t>
  </si>
  <si>
    <t>Currency Pound (2dp)</t>
  </si>
  <si>
    <t>Currency Pound</t>
  </si>
  <si>
    <t>Input Parameter</t>
  </si>
  <si>
    <t>Input Data</t>
  </si>
  <si>
    <t>Input Calculation</t>
  </si>
  <si>
    <t>Input Link</t>
  </si>
  <si>
    <t>Row label</t>
  </si>
  <si>
    <t>Row label (indent)</t>
  </si>
  <si>
    <t>Total row</t>
  </si>
  <si>
    <t>Sub-total row</t>
  </si>
  <si>
    <t>(Table finish row)</t>
  </si>
  <si>
    <t>Name</t>
  </si>
  <si>
    <t>Note</t>
  </si>
  <si>
    <t>H1</t>
  </si>
  <si>
    <t>H2</t>
  </si>
  <si>
    <t>H3</t>
  </si>
  <si>
    <t>H4</t>
  </si>
  <si>
    <t>Heading level 1</t>
  </si>
  <si>
    <t>Heading level 2</t>
  </si>
  <si>
    <t>Heading level 3</t>
  </si>
  <si>
    <t>Heading level 4</t>
  </si>
  <si>
    <t>NB These styles change only the font used in a cell</t>
  </si>
  <si>
    <t>Number styles</t>
  </si>
  <si>
    <t>Table styles</t>
  </si>
  <si>
    <t>Title</t>
  </si>
  <si>
    <t>(Table shading)</t>
  </si>
  <si>
    <t>NB These styles change a variety of different aspects of cell formatting (as appropriate to the context)</t>
  </si>
  <si>
    <t>Examples of use</t>
  </si>
  <si>
    <t>Use these styles to consistently format numbers (and dates)</t>
  </si>
  <si>
    <t>Use these styles to consistently format tables</t>
  </si>
  <si>
    <t>A calculation of the model</t>
  </si>
  <si>
    <t>A piece of real data (only change if you have better data)</t>
  </si>
  <si>
    <t>An input to the model that it is expected the user will change (change at will)</t>
  </si>
  <si>
    <t>A side calculation intended solely to cross check a result (and which therefore should not be referenced anywhere else in the model)</t>
  </si>
  <si>
    <t>A total (use if not part of a "Sub-total row" or a "Total row" in a table - see below)</t>
  </si>
  <si>
    <t>Positive</t>
  </si>
  <si>
    <t>Negative</t>
  </si>
  <si>
    <t>Zero</t>
  </si>
  <si>
    <t>Currency
Euro</t>
  </si>
  <si>
    <t>Currency
Euro (2dp)</t>
  </si>
  <si>
    <t>Currency
EUR</t>
  </si>
  <si>
    <t>Currency
EUR (2dp)</t>
  </si>
  <si>
    <t>Currency
USD</t>
  </si>
  <si>
    <t>Currency
USD (2dp)</t>
  </si>
  <si>
    <t>Currency
GBP</t>
  </si>
  <si>
    <t>Currency
GBP (2dp)</t>
  </si>
  <si>
    <t>Date
(Month)</t>
  </si>
  <si>
    <t>Date
(Year)</t>
  </si>
  <si>
    <r>
      <t xml:space="preserve">Consider using </t>
    </r>
    <r>
      <rPr>
        <u/>
        <sz val="9"/>
        <rFont val="Arial"/>
        <family val="2"/>
      </rPr>
      <t>D</t>
    </r>
    <r>
      <rPr>
        <sz val="9"/>
        <rFont val="Arial"/>
        <family val="2"/>
      </rPr>
      <t xml:space="preserve">ata </t>
    </r>
    <r>
      <rPr>
        <sz val="9"/>
        <rFont val="Arial"/>
        <family val="2"/>
      </rPr>
      <t>V</t>
    </r>
    <r>
      <rPr>
        <sz val="9"/>
        <rFont val="Arial"/>
        <family val="2"/>
      </rPr>
      <t>a</t>
    </r>
    <r>
      <rPr>
        <u/>
        <sz val="9"/>
        <rFont val="Arial"/>
        <family val="2"/>
      </rPr>
      <t>l</t>
    </r>
    <r>
      <rPr>
        <sz val="9"/>
        <rFont val="Arial"/>
        <family val="2"/>
      </rPr>
      <t>idation to ensure that only acceptable values are entered</t>
    </r>
  </si>
  <si>
    <t>Acceptable values</t>
  </si>
  <si>
    <t>Minimum</t>
  </si>
  <si>
    <t>Maximum</t>
  </si>
  <si>
    <r>
      <t xml:space="preserve">If a parameter can take only one of a small number of values, consider using </t>
    </r>
    <r>
      <rPr>
        <u/>
        <sz val="9"/>
        <rFont val="Arial"/>
        <family val="2"/>
      </rPr>
      <t>D</t>
    </r>
    <r>
      <rPr>
        <sz val="9"/>
        <rFont val="Arial"/>
        <family val="2"/>
      </rPr>
      <t>ata Va</t>
    </r>
    <r>
      <rPr>
        <u/>
        <sz val="9"/>
        <rFont val="Arial"/>
        <family val="2"/>
      </rPr>
      <t>l</t>
    </r>
    <r>
      <rPr>
        <sz val="9"/>
        <rFont val="Arial"/>
        <family val="2"/>
      </rPr>
      <t xml:space="preserve">idation </t>
    </r>
    <r>
      <rPr>
        <u/>
        <sz val="9"/>
        <rFont val="Arial"/>
        <family val="2"/>
      </rPr>
      <t>A</t>
    </r>
    <r>
      <rPr>
        <sz val="9"/>
        <rFont val="Arial"/>
        <family val="2"/>
      </rPr>
      <t xml:space="preserve">llow </t>
    </r>
    <r>
      <rPr>
        <u/>
        <sz val="9"/>
        <rFont val="Arial"/>
        <family val="2"/>
      </rPr>
      <t>L</t>
    </r>
    <r>
      <rPr>
        <sz val="9"/>
        <rFont val="Arial"/>
        <family val="2"/>
      </rPr>
      <t xml:space="preserve">ist with </t>
    </r>
    <r>
      <rPr>
        <u/>
        <sz val="9"/>
        <rFont val="Arial"/>
        <family val="2"/>
      </rPr>
      <t>I</t>
    </r>
    <r>
      <rPr>
        <sz val="9"/>
        <rFont val="Arial"/>
        <family val="2"/>
      </rPr>
      <t>n-cell dropdown selected</t>
    </r>
  </si>
  <si>
    <t>Unhighlight</t>
  </si>
  <si>
    <t>And one that isn't anymore</t>
  </si>
  <si>
    <t>NB All number styles use the decimal symbol and digit grouping symbol (thousands separator) defined under Regional Options in Control Panel. So if you want to change them do it there, and not here in Excel !</t>
  </si>
  <si>
    <t>(Table unshading)</t>
  </si>
  <si>
    <t>NB Most number styles leave space for a ')' to the right of the number, but only the Currency styles actually use '(…)' for negatives</t>
  </si>
  <si>
    <t>Input Estimate</t>
  </si>
  <si>
    <t>An estimate used in the absence of real data (only change if you have a better estimate, or real data )</t>
  </si>
  <si>
    <t>Use these styles to format headings</t>
  </si>
  <si>
    <t>Heading styles</t>
  </si>
  <si>
    <t>Input cell styles</t>
  </si>
  <si>
    <t>Use these styles to identify inputs to a model</t>
  </si>
  <si>
    <t>Other cell styles</t>
  </si>
  <si>
    <t>Use these styles to identify the role of other cells in a model</t>
  </si>
  <si>
    <t>A note (NB smaller than standard font size)</t>
  </si>
  <si>
    <t>ADSL</t>
  </si>
  <si>
    <t>Cable Modem</t>
  </si>
  <si>
    <t>Dial-up</t>
  </si>
  <si>
    <t>Number of subscribers (year end)</t>
  </si>
  <si>
    <t>Total</t>
  </si>
  <si>
    <t>A simple table</t>
  </si>
  <si>
    <t>A more complex table</t>
  </si>
  <si>
    <t>NB Use Window Unfreeze Panes (on each worksheet) to have row 1 scroll with the rest of the worksheet</t>
  </si>
  <si>
    <t>Number of subscribers (simple year average)</t>
  </si>
  <si>
    <t>Email</t>
  </si>
  <si>
    <t>Subscribers.Year Average.Total</t>
  </si>
  <si>
    <t>NB To avoid having spurious names in this template the names shown below have not actually been created</t>
  </si>
  <si>
    <t xml:space="preserve"> </t>
  </si>
  <si>
    <t>Column label</t>
  </si>
  <si>
    <t>Input Link (different Workbook)</t>
  </si>
  <si>
    <t>An input to this part of the model, which is linked to a source on a worksheet in a different workbook</t>
  </si>
  <si>
    <t>Checksum</t>
  </si>
  <si>
    <t>Column label (left aligned)</t>
  </si>
  <si>
    <t>Column label (not bold)</t>
  </si>
  <si>
    <t>Subscribers.Year End.By Service</t>
  </si>
  <si>
    <t>Service</t>
  </si>
  <si>
    <t>Units</t>
  </si>
  <si>
    <t>Subscribers</t>
  </si>
  <si>
    <t>From above</t>
  </si>
  <si>
    <t>From Cable_modem.xls</t>
  </si>
  <si>
    <t>Linear interpolation</t>
  </si>
  <si>
    <t>Column label (no wrap)</t>
  </si>
  <si>
    <t>NB These styles change most aspects of a cell's formatting (all except Number and Alignment)</t>
  </si>
  <si>
    <t>NB These styles change a variety of different aspects of a cell's formatting (as appropriate to the context)</t>
  </si>
  <si>
    <t>Input Link (different Worksheet)</t>
  </si>
  <si>
    <t>An input to this part of the model, which is linked to a source on this worksheet within this workbook</t>
  </si>
  <si>
    <t>An input to this part of the model, which is linked to a source on another worksheet within this workbook</t>
  </si>
  <si>
    <r>
      <t xml:space="preserve">NB Consider using Insert &gt; Header &amp; Footer &gt; Sheet &gt; </t>
    </r>
    <r>
      <rPr>
        <u/>
        <sz val="8"/>
        <rFont val="Arial"/>
        <family val="2"/>
      </rPr>
      <t>R</t>
    </r>
    <r>
      <rPr>
        <sz val="8"/>
        <rFont val="Arial"/>
        <family val="2"/>
      </rPr>
      <t>ows to repeat at top: $1:$1 to include row 1 at the top of all printed pages</t>
    </r>
  </si>
  <si>
    <t>Style guidelines</t>
  </si>
  <si>
    <t>Sheet title</t>
  </si>
  <si>
    <t>Consider using Conditional Formatting (on Home tab) to highlight unacceptable results of cross-check calculations (e.g. non-zero)</t>
  </si>
  <si>
    <r>
      <t xml:space="preserve">An Excel Name applying to one or more adjacent cells – use Create from Selection (on Formulas tab) </t>
    </r>
    <r>
      <rPr>
        <sz val="9"/>
        <rFont val="Arial"/>
        <family val="2"/>
      </rPr>
      <t>to actually create the Excel Names</t>
    </r>
  </si>
  <si>
    <t>H0</t>
  </si>
  <si>
    <t>Heading level 0</t>
  </si>
  <si>
    <t>An input to the model that has been calculated from other inputs (e.g. interpolated input values)</t>
  </si>
  <si>
    <t>Numericable</t>
  </si>
  <si>
    <t>Telenet</t>
  </si>
  <si>
    <t>Voo</t>
  </si>
  <si>
    <t>Triple Play Start</t>
  </si>
  <si>
    <t>Triple Play Extra</t>
  </si>
  <si>
    <t>Triple Play Max</t>
  </si>
  <si>
    <t>-</t>
  </si>
  <si>
    <t>Whop</t>
  </si>
  <si>
    <t>Whoppa</t>
  </si>
  <si>
    <t>Internet &amp; TV</t>
  </si>
  <si>
    <t>Duo TV NET "Un peu"</t>
  </si>
  <si>
    <t>Duo TV NET "Beaucoup"</t>
  </si>
  <si>
    <t>Duo TV NET "Passionnement"</t>
  </si>
  <si>
    <t>Duo TV NET "A la folie"</t>
  </si>
  <si>
    <t>Duo TV NET "Fiber 120"</t>
  </si>
  <si>
    <t>Trio "Un peu"</t>
  </si>
  <si>
    <t>Trio "Beaucoup"</t>
  </si>
  <si>
    <t>Trio "Passionément"</t>
  </si>
  <si>
    <t>Trio "A la folie"</t>
  </si>
  <si>
    <t>Trio "Fiber 120"</t>
  </si>
  <si>
    <t>VAT.rate</t>
  </si>
  <si>
    <t>Internet</t>
  </si>
  <si>
    <t>Modem</t>
  </si>
  <si>
    <t>NUC.TVANALOG</t>
  </si>
  <si>
    <t>TNT.TVANALOG</t>
  </si>
  <si>
    <t>VOO.TVANALOG</t>
  </si>
  <si>
    <t>TNT.EMAIL.10</t>
  </si>
  <si>
    <t>TNT.STB</t>
  </si>
  <si>
    <t>VOO.STB</t>
  </si>
  <si>
    <t>NUC.STB</t>
  </si>
  <si>
    <t>TNT.WIFI</t>
  </si>
  <si>
    <t>VOO.WIFI</t>
  </si>
  <si>
    <t>NUC.WIFI</t>
  </si>
  <si>
    <t>TNT.WEB</t>
  </si>
  <si>
    <t>NUC.WEB</t>
  </si>
  <si>
    <t xml:space="preserve">TNT.2NDSCREEN
</t>
  </si>
  <si>
    <t xml:space="preserve">VOO.2NDSCREEN
</t>
  </si>
  <si>
    <t xml:space="preserve">NUC.2NDSCREEN
</t>
  </si>
  <si>
    <t>TNT.MODEM</t>
  </si>
  <si>
    <t>VOO.MODEM</t>
  </si>
  <si>
    <t>NUC.MODEM</t>
  </si>
  <si>
    <t>NUC.MINIPREM</t>
  </si>
  <si>
    <t>TNT.SPORTING.1</t>
  </si>
  <si>
    <t>TNT.SPORTING.2</t>
  </si>
  <si>
    <t>VOO.TEL.ECO</t>
  </si>
  <si>
    <t>VOO.TEL.BLA</t>
  </si>
  <si>
    <t>NUC.TEL.START</t>
  </si>
  <si>
    <t>NUC.TEL.EXTRA</t>
  </si>
  <si>
    <t>NUC.TEL.MONDE</t>
  </si>
  <si>
    <t>TNT.TEL.EUROPE</t>
  </si>
  <si>
    <t>TNT.BB.BASIC</t>
  </si>
  <si>
    <t>TNT.BB.WHOP</t>
  </si>
  <si>
    <t>TNT.BB.WHOPPA</t>
  </si>
  <si>
    <t>VOO.BB.UNPEU</t>
  </si>
  <si>
    <t>VOO.BB.PASSION</t>
  </si>
  <si>
    <t>VOO.BB.BCP</t>
  </si>
  <si>
    <t>VOO.BB.FOLIE</t>
  </si>
  <si>
    <t>VOO.BB.FIBRE</t>
  </si>
  <si>
    <t>Discount</t>
  </si>
  <si>
    <t>NUC.DROITS</t>
  </si>
  <si>
    <t>TNT.DROITS</t>
  </si>
  <si>
    <t>Voo - Brutélé</t>
  </si>
  <si>
    <t>Voo - Nethys</t>
  </si>
  <si>
    <t>NUC.MINIPREM.STANDALONE</t>
  </si>
  <si>
    <t>liste.minus</t>
  </si>
  <si>
    <t>chosen.minus</t>
  </si>
  <si>
    <t>BRUTELE.VFOOT.STANDALONE</t>
  </si>
  <si>
    <t>BRUTELE.VFOOT2EUR</t>
  </si>
  <si>
    <t>NETHYS.VFOOT.STANDALONE</t>
  </si>
  <si>
    <t>NETHYS.VFOOT2EUR</t>
  </si>
  <si>
    <t>NUC.DROITS.AUDIOV</t>
  </si>
  <si>
    <t>BRUTELE.DROITS.AUDIOV</t>
  </si>
  <si>
    <t>NETHYS.DROITS.AUDIOV</t>
  </si>
  <si>
    <t>NUC.EMAIL.6</t>
  </si>
  <si>
    <t>BRUTELE.DROITS</t>
  </si>
  <si>
    <t>NETHYS.DROITS</t>
  </si>
  <si>
    <t>TNT.SPORTING.STANDALONE.2</t>
  </si>
  <si>
    <t>TNT.SPORTING.STANDALONE.1</t>
  </si>
  <si>
    <t>Minus 2P</t>
  </si>
  <si>
    <t>Minus TV numérique</t>
  </si>
  <si>
    <t>Minus TV analogique</t>
  </si>
  <si>
    <t>liste.minus.TVanalogique</t>
  </si>
  <si>
    <t>liste.minus.TVnumerique</t>
  </si>
  <si>
    <t>chosen.minus.TVnumerique</t>
  </si>
  <si>
    <t>chosen.minus.TVanalogique</t>
  </si>
  <si>
    <t>Total (excl. VAT)</t>
  </si>
  <si>
    <t>NUC.BB.50MBPS</t>
  </si>
  <si>
    <t>NUC.BB.100MBPS</t>
  </si>
  <si>
    <t>NUC.BB.200MBPS</t>
  </si>
  <si>
    <t>Calculation parameters: value of services, minus and adoption rates</t>
  </si>
  <si>
    <t>Decision 2013</t>
  </si>
  <si>
    <t>Value</t>
  </si>
  <si>
    <t>Calculation of wholesale tariffs - analog TV</t>
  </si>
  <si>
    <t>Calculation of wholesale tariffs - digital TV</t>
  </si>
  <si>
    <t>Components of the retail product</t>
  </si>
  <si>
    <t>Reference retail price of the Digital TV offering (including analog TV)</t>
  </si>
  <si>
    <t>Reference retail price (new)</t>
  </si>
  <si>
    <t>Old reference retail price</t>
  </si>
  <si>
    <t>Difference (%)</t>
  </si>
  <si>
    <t>Analysis of evolution of reference retail price</t>
  </si>
  <si>
    <t>Decoder</t>
  </si>
  <si>
    <t>Other effects</t>
  </si>
  <si>
    <t>New reference retail price</t>
  </si>
  <si>
    <t>Price of the decoder</t>
  </si>
  <si>
    <t>Minus and wholesal tariffs</t>
  </si>
  <si>
    <t>Minus - FINAL</t>
  </si>
  <si>
    <t>Old minus</t>
  </si>
  <si>
    <t>Wholesale price - FINAL</t>
  </si>
  <si>
    <t>Old wholesal price</t>
  </si>
  <si>
    <t>Difference (absolut)</t>
  </si>
  <si>
    <t>Digital TV</t>
  </si>
  <si>
    <t>Retail products commercialized by the cable operators ----&gt;</t>
  </si>
  <si>
    <t>Analog TV</t>
  </si>
  <si>
    <t>Reference retail price of the Analog TV offering</t>
  </si>
  <si>
    <t>Calculation of wholesale tariffs - multiplay</t>
  </si>
  <si>
    <t>TV (excluding copyright)</t>
  </si>
  <si>
    <t>Content 1</t>
  </si>
  <si>
    <t>Content 2</t>
  </si>
  <si>
    <t>2nd screen</t>
  </si>
  <si>
    <t>Fixed Telephony 1</t>
  </si>
  <si>
    <t>Fixed Telephony 2</t>
  </si>
  <si>
    <t>Top-down composition of pack</t>
  </si>
  <si>
    <t>Retail price without decoder (incl. VAT)</t>
  </si>
  <si>
    <t>Decoder rental fee (incl. VAT)</t>
  </si>
  <si>
    <t>Retail price incl. decoder (incl. VAT)</t>
  </si>
  <si>
    <t>Retail price incl. decoder (excl VAT)</t>
  </si>
  <si>
    <t>Price of discounted premium content  (incl. VAT)</t>
  </si>
  <si>
    <t>Discounted premium content</t>
  </si>
  <si>
    <t>Retail price to consider (incl. VAT)</t>
  </si>
  <si>
    <t>Retail price to consider (excl. VAT)</t>
  </si>
  <si>
    <t>Deduction of VAT</t>
  </si>
  <si>
    <t>Deduction of copyrights (excl. VAT)</t>
  </si>
  <si>
    <t>Copyrights</t>
  </si>
  <si>
    <t>Applicable retail price (excl. VAT and copyrights)</t>
  </si>
  <si>
    <t>Value of standalone services</t>
  </si>
  <si>
    <t>TV (excl. copyrights)</t>
  </si>
  <si>
    <t>Components of the retail product (bottom-up)</t>
  </si>
  <si>
    <t>Multiplay bundle discount top-down/bottom-up</t>
  </si>
  <si>
    <t>Out of bundle reculculated retail price</t>
  </si>
  <si>
    <t>Elements to deduct from 1P BB offer</t>
  </si>
  <si>
    <t>Wifi</t>
  </si>
  <si>
    <t>Webspace</t>
  </si>
  <si>
    <t>Elements to deduct</t>
  </si>
  <si>
    <t>Value of element to deduct (after discount)</t>
  </si>
  <si>
    <t>Reference retail price "TV+Internet"</t>
  </si>
  <si>
    <t>Fixed telephony</t>
  </si>
  <si>
    <t>Retail price (excl. VAT)</t>
  </si>
  <si>
    <t>Other services (incl. modem, extra services, telephony)</t>
  </si>
  <si>
    <t>Impact of "3P vs. 2P effect"</t>
  </si>
  <si>
    <t>New reference tariff</t>
  </si>
  <si>
    <t>Detail of the impact of the extra services</t>
  </si>
  <si>
    <t>Telephony</t>
  </si>
  <si>
    <t>Content</t>
  </si>
  <si>
    <t>Minus and wholesale tariffs</t>
  </si>
  <si>
    <t>Adoption rate (%)</t>
  </si>
  <si>
    <t>Price (incl. VAT)</t>
  </si>
  <si>
    <t>Price (excl. VAT)</t>
  </si>
  <si>
    <t>TV (excl. royalties)</t>
  </si>
  <si>
    <t>Enter MINUS choice in cell H64: 1 = Decision 2013, 2 = After transition period, 3 = During transition period. The selected MINUS will be used in the wholesale tariff calculations.</t>
  </si>
  <si>
    <t xml:space="preserve">Only applicable in the Walloon Region (for simplicity, in calculation sheet we only consider case in Brussels Region for Numericable) </t>
  </si>
  <si>
    <t xml:space="preserve">Only applicable in the Walloon Region (for simplicity, in calculation sheet we only consider case in Brussels Region for Brutélé). </t>
  </si>
  <si>
    <t xml:space="preserve">Only applicable in the Walloon Region (for simplicity, in calculation sheet we only consider case in Walloon Region for Nethys). </t>
  </si>
  <si>
    <t>Remarks</t>
  </si>
  <si>
    <t>Adoption rates are 100% by default, with the exception of Sporting Telenet (TNT.SPORTING), VOOFoot (BRUTELE.VFOOT and NETHYS.VFOOT) and Numericable Mini Premium (NUC.MINIPREM)</t>
  </si>
  <si>
    <t>Dummy adoption rate, to be replaced by actual adoption rate</t>
  </si>
  <si>
    <t>After start-up phase</t>
  </si>
  <si>
    <t>During start-up phase</t>
  </si>
</sst>
</file>

<file path=xl/styles.xml><?xml version="1.0" encoding="utf-8"?>
<styleSheet xmlns="http://schemas.openxmlformats.org/spreadsheetml/2006/main" xmlns:mc="http://schemas.openxmlformats.org/markup-compatibility/2006" xmlns:x14ac="http://schemas.microsoft.com/office/spreadsheetml/2009/9/ac" mc:Ignorable="x14ac">
  <numFmts count="27">
    <numFmt numFmtId="164" formatCode="#,##0_);[Red]\-#,##0_);0_);@_)"/>
    <numFmt numFmtId="165" formatCode="#,##0.00_);[Red]\-#,##0.00_);0.00_);@_)"/>
    <numFmt numFmtId="166" formatCode="#,##0%;[Red]\-#,##0%;0%;@_)"/>
    <numFmt numFmtId="167" formatCode="#,##0.00%;[Red]\-#,##0.00%;0.00%;@_)"/>
    <numFmt numFmtId="168" formatCode="dd\ mmm\ yy_)"/>
    <numFmt numFmtId="169" formatCode="* _(#,##0_);[Red]* \(#,##0\);* _(&quot;-&quot;?_);@_)"/>
    <numFmt numFmtId="170" formatCode="* _(#,##0.00_);[Red]* \(#,##0.00\);* _(&quot;-&quot;?_);@_)"/>
    <numFmt numFmtId="171" formatCode="\€\ * _(#,##0_);[Red]\€\ * \(#,##0\);\€\ * _(&quot;-&quot;?_);@_)"/>
    <numFmt numFmtId="172" formatCode="\€\ * _(#,##0.00_);[Red]\€\ * \(#,##0.00\);\€\ * _(&quot;-&quot;?_);@_)"/>
    <numFmt numFmtId="173" formatCode="[$EUR]\ * _(#,##0_);[Red][$EUR]\ * \(#,##0\);[$EUR]\ * _(&quot;-&quot;?_);@_)"/>
    <numFmt numFmtId="174" formatCode="[$EUR]\ * _(#,##0.00_);[Red][$EUR]\ * \(#,##0.00\);[$EUR]\ * _(&quot;-&quot;?_);@_)"/>
    <numFmt numFmtId="175" formatCode="\$\ * _(#,##0_);[Red]\$\ * \(#,##0\);\$\ * _(&quot;-&quot;?_);@_)"/>
    <numFmt numFmtId="176" formatCode="\$\ * _(#,##0.00_);[Red]\$\ * \(#,##0.00\);\$\ * _(&quot;-&quot;?_);@_)"/>
    <numFmt numFmtId="177" formatCode="[$USD]\ * _(#,##0_);[Red][$USD]\ * \(#,##0\);[$USD]\ * _(&quot;-&quot;?_);@_)"/>
    <numFmt numFmtId="178" formatCode="[$USD]\ * _(#,##0.00_);[Red][$USD]\ * \(#,##0.00\);[$USD]\ * _(&quot;-&quot;?_);@_)"/>
    <numFmt numFmtId="179" formatCode="\£\ * _(#,##0_);[Red]\£\ * \(#,##0\);\£\ * _(&quot;-&quot;?_);@_)"/>
    <numFmt numFmtId="180" formatCode="\£\ * _(#,##0.00_);[Red]\£\ * \(#,##0.00\);\£\ * _(&quot;-&quot;?_);@_)"/>
    <numFmt numFmtId="181" formatCode="[$GBP]\ * _(#,##0_);[Red][$GBP]\ * \(#,##0\);[$GBP]\ * _(&quot;-&quot;?_);@_)"/>
    <numFmt numFmtId="182" formatCode="[$GBP]\ * _(#,##0.00_);[Red][$GBP]\ * \(#,##0.00\);[$GBP]\ * _(&quot;-&quot;?_);@_)"/>
    <numFmt numFmtId="183" formatCode="mmm\ yy_)"/>
    <numFmt numFmtId="184" formatCode="yyyy_)"/>
    <numFmt numFmtId="185" formatCode="#,##0_);[Red]\-#,##0_);&quot;-&quot;?_);@_)"/>
    <numFmt numFmtId="186" formatCode="#,##0.00_);[Red]\-#,##0.00_);&quot;-&quot;?_);@_)"/>
    <numFmt numFmtId="187" formatCode="#,##0%;[Red]\-#,##0%;&quot;-&quot;\%;@_)"/>
    <numFmt numFmtId="188" formatCode="#,##0.00%;[Red]\-#,##0.00%;&quot;-&quot;\%;@_)"/>
    <numFmt numFmtId="189" formatCode="#,##0.00000000000000;[Red]#,##0.00000000000000"/>
    <numFmt numFmtId="190" formatCode="#,##0.00;[Red]#,##0.00"/>
  </numFmts>
  <fonts count="17" x14ac:knownFonts="1">
    <font>
      <sz val="9"/>
      <name val="Arial"/>
      <family val="2"/>
    </font>
    <font>
      <b/>
      <sz val="12"/>
      <name val="Arial"/>
      <family val="2"/>
    </font>
    <font>
      <sz val="9"/>
      <name val="Arial"/>
      <family val="2"/>
    </font>
    <font>
      <b/>
      <sz val="18"/>
      <name val="Arial"/>
      <family val="2"/>
    </font>
    <font>
      <b/>
      <sz val="14"/>
      <name val="Arial"/>
      <family val="2"/>
    </font>
    <font>
      <b/>
      <sz val="9"/>
      <name val="Arial"/>
      <family val="2"/>
    </font>
    <font>
      <b/>
      <sz val="22"/>
      <name val="Arial"/>
      <family val="2"/>
    </font>
    <font>
      <sz val="8"/>
      <name val="Arial"/>
      <family val="2"/>
    </font>
    <font>
      <i/>
      <sz val="9"/>
      <color indexed="55"/>
      <name val="Arial"/>
      <family val="2"/>
    </font>
    <font>
      <u/>
      <sz val="9"/>
      <name val="Arial"/>
      <family val="2"/>
    </font>
    <font>
      <u/>
      <sz val="8"/>
      <name val="Arial"/>
      <family val="2"/>
    </font>
    <font>
      <i/>
      <sz val="9"/>
      <color rgb="FFC41230"/>
      <name val="Arial"/>
      <family val="2"/>
    </font>
    <font>
      <b/>
      <sz val="9"/>
      <color rgb="FFFFFFFF"/>
      <name val="Arial"/>
      <family val="2"/>
    </font>
    <font>
      <sz val="9"/>
      <color rgb="FFFFFFFF"/>
      <name val="Arial"/>
      <family val="2"/>
    </font>
    <font>
      <i/>
      <sz val="9"/>
      <name val="Arial"/>
      <family val="2"/>
    </font>
    <font>
      <i/>
      <sz val="9"/>
      <color rgb="FFFF0000"/>
      <name val="Arial"/>
      <family val="2"/>
    </font>
    <font>
      <b/>
      <i/>
      <sz val="9"/>
      <color rgb="FFFF0000"/>
      <name val="Arial"/>
      <family val="2"/>
    </font>
  </fonts>
  <fills count="17">
    <fill>
      <patternFill patternType="none"/>
    </fill>
    <fill>
      <patternFill patternType="gray125"/>
    </fill>
    <fill>
      <patternFill patternType="solid">
        <fgColor indexed="22"/>
        <bgColor indexed="64"/>
      </patternFill>
    </fill>
    <fill>
      <patternFill patternType="solid">
        <fgColor rgb="FFFFFAB3"/>
        <bgColor indexed="15"/>
      </patternFill>
    </fill>
    <fill>
      <patternFill patternType="solid">
        <fgColor rgb="FFD0FFD0"/>
        <bgColor indexed="64"/>
      </patternFill>
    </fill>
    <fill>
      <patternFill patternType="solid">
        <fgColor rgb="FFB4FF3C"/>
        <bgColor indexed="64"/>
      </patternFill>
    </fill>
    <fill>
      <patternFill patternType="solid">
        <fgColor rgb="FF00FF00"/>
        <bgColor indexed="64"/>
      </patternFill>
    </fill>
    <fill>
      <patternFill patternType="solid">
        <fgColor rgb="FFFFE0A0"/>
        <bgColor indexed="64"/>
      </patternFill>
    </fill>
    <fill>
      <patternFill patternType="solid">
        <fgColor rgb="FF221F72"/>
        <bgColor indexed="64"/>
      </patternFill>
    </fill>
    <fill>
      <patternFill patternType="solid">
        <fgColor rgb="FFC4D0E9"/>
        <bgColor indexed="64"/>
      </patternFill>
    </fill>
    <fill>
      <patternFill patternType="solid">
        <fgColor rgb="FF221F72"/>
        <bgColor rgb="FF221F72"/>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indexed="41"/>
        <bgColor indexed="64"/>
      </patternFill>
    </fill>
    <fill>
      <patternFill patternType="solid">
        <fgColor theme="9" tint="0.59999389629810485"/>
        <bgColor indexed="64"/>
      </patternFill>
    </fill>
    <fill>
      <patternFill patternType="solid">
        <fgColor theme="8" tint="0.39997558519241921"/>
        <bgColor indexed="64"/>
      </patternFill>
    </fill>
  </fills>
  <borders count="8">
    <border>
      <left/>
      <right/>
      <top/>
      <bottom/>
      <diagonal/>
    </border>
    <border>
      <left style="thin">
        <color rgb="FF0000FF"/>
      </left>
      <right style="thin">
        <color rgb="FF0000FF"/>
      </right>
      <top style="thin">
        <color rgb="FF0000FF"/>
      </top>
      <bottom style="thin">
        <color rgb="FF0000FF"/>
      </bottom>
      <diagonal/>
    </border>
    <border>
      <left style="thin">
        <color rgb="FF00C000"/>
      </left>
      <right style="thin">
        <color rgb="FF00C000"/>
      </right>
      <top style="thin">
        <color rgb="FF00C000"/>
      </top>
      <bottom style="thin">
        <color rgb="FF00C000"/>
      </bottom>
      <diagonal/>
    </border>
    <border>
      <left/>
      <right/>
      <top style="medium">
        <color rgb="FFC4D0E9"/>
      </top>
      <bottom style="medium">
        <color rgb="FFC4D0E9"/>
      </bottom>
      <diagonal/>
    </border>
    <border>
      <left/>
      <right/>
      <top style="medium">
        <color rgb="FFC4D0E9"/>
      </top>
      <bottom/>
      <diagonal/>
    </border>
    <border>
      <left style="thin">
        <color rgb="FF00C000"/>
      </left>
      <right/>
      <top style="thin">
        <color rgb="FF00C000"/>
      </top>
      <bottom style="thin">
        <color rgb="FF00C000"/>
      </bottom>
      <diagonal/>
    </border>
    <border>
      <left style="dotted">
        <color rgb="FF00C000"/>
      </left>
      <right style="dotted">
        <color rgb="FF00C000"/>
      </right>
      <top style="dotted">
        <color rgb="FF00C000"/>
      </top>
      <bottom style="dotted">
        <color rgb="FF00C000"/>
      </bottom>
      <diagonal/>
    </border>
    <border>
      <left/>
      <right/>
      <top style="medium">
        <color indexed="41"/>
      </top>
      <bottom/>
      <diagonal/>
    </border>
  </borders>
  <cellStyleXfs count="59">
    <xf numFmtId="0" fontId="0" fillId="0" borderId="0">
      <alignment vertical="center"/>
    </xf>
    <xf numFmtId="0" fontId="2" fillId="0" borderId="0" applyNumberFormat="0" applyAlignment="0">
      <alignment vertical="center"/>
    </xf>
    <xf numFmtId="165" fontId="8" fillId="0" borderId="0" applyNumberFormat="0" applyAlignment="0">
      <alignment vertical="center"/>
    </xf>
    <xf numFmtId="0" fontId="12" fillId="10" borderId="0" applyNumberFormat="0">
      <alignment horizontal="center" vertical="top" wrapText="1"/>
    </xf>
    <xf numFmtId="0" fontId="12" fillId="8" borderId="0" applyNumberFormat="0">
      <alignment horizontal="left" vertical="top" wrapText="1"/>
    </xf>
    <xf numFmtId="0" fontId="12" fillId="8" borderId="0" applyNumberFormat="0">
      <alignment horizontal="centerContinuous" vertical="top"/>
    </xf>
    <xf numFmtId="0" fontId="13" fillId="8" borderId="0" applyNumberFormat="0">
      <alignment horizontal="center" vertical="top" wrapText="1"/>
    </xf>
    <xf numFmtId="169" fontId="2" fillId="0" borderId="0" applyFont="0" applyFill="0" applyBorder="0" applyAlignment="0" applyProtection="0">
      <alignment vertical="center"/>
    </xf>
    <xf numFmtId="169" fontId="2" fillId="0" borderId="0" applyFont="0" applyFill="0" applyBorder="0" applyAlignment="0" applyProtection="0">
      <alignment vertical="center"/>
    </xf>
    <xf numFmtId="170" fontId="2" fillId="0" borderId="0" applyFont="0" applyFill="0" applyBorder="0" applyAlignment="0" applyProtection="0">
      <alignment vertical="center"/>
    </xf>
    <xf numFmtId="175" fontId="2" fillId="0" borderId="0" applyFont="0" applyFill="0" applyBorder="0" applyAlignment="0" applyProtection="0">
      <alignment vertical="center"/>
    </xf>
    <xf numFmtId="176" fontId="2" fillId="0" borderId="0" applyFont="0" applyFill="0" applyBorder="0" applyAlignment="0" applyProtection="0">
      <alignment vertical="center"/>
    </xf>
    <xf numFmtId="173" fontId="2" fillId="0" borderId="0" applyFont="0" applyFill="0" applyBorder="0" applyAlignment="0" applyProtection="0">
      <alignment vertical="center"/>
    </xf>
    <xf numFmtId="174" fontId="2" fillId="0" borderId="0" applyFont="0" applyFill="0" applyBorder="0" applyAlignment="0" applyProtection="0">
      <alignment vertical="center"/>
    </xf>
    <xf numFmtId="171" fontId="2" fillId="0" borderId="0" applyFont="0" applyFill="0" applyBorder="0" applyAlignment="0" applyProtection="0">
      <alignment vertical="center"/>
    </xf>
    <xf numFmtId="172" fontId="2" fillId="0" borderId="0" applyFont="0" applyFill="0" applyBorder="0" applyAlignment="0" applyProtection="0">
      <alignment vertical="center"/>
    </xf>
    <xf numFmtId="181" fontId="2" fillId="0" borderId="0" applyFont="0" applyFill="0" applyBorder="0" applyAlignment="0" applyProtection="0">
      <alignment vertical="center"/>
    </xf>
    <xf numFmtId="182" fontId="2" fillId="0" borderId="0" applyFont="0" applyFill="0" applyBorder="0" applyAlignment="0" applyProtection="0">
      <alignment vertical="center"/>
    </xf>
    <xf numFmtId="179" fontId="2" fillId="0" borderId="0" applyFont="0" applyFill="0" applyBorder="0" applyAlignment="0" applyProtection="0">
      <alignment vertical="center"/>
    </xf>
    <xf numFmtId="180" fontId="2" fillId="0" borderId="0" applyFont="0" applyFill="0" applyBorder="0" applyAlignment="0" applyProtection="0">
      <alignment vertical="center"/>
    </xf>
    <xf numFmtId="177" fontId="2" fillId="0" borderId="0" applyFont="0" applyFill="0" applyBorder="0" applyAlignment="0" applyProtection="0">
      <alignment vertical="center"/>
    </xf>
    <xf numFmtId="178" fontId="2" fillId="0" borderId="0" applyFont="0" applyFill="0" applyBorder="0" applyAlignment="0" applyProtection="0">
      <alignment vertical="center"/>
    </xf>
    <xf numFmtId="168" fontId="2" fillId="0" borderId="0" applyFont="0" applyFill="0" applyBorder="0" applyAlignment="0" applyProtection="0">
      <alignment vertical="center"/>
    </xf>
    <xf numFmtId="183" fontId="2" fillId="0" borderId="0" applyFont="0" applyFill="0" applyBorder="0" applyAlignment="0" applyProtection="0">
      <alignment vertical="center"/>
    </xf>
    <xf numFmtId="184" fontId="2" fillId="0" borderId="0" applyFont="0" applyFill="0" applyBorder="0" applyAlignment="0" applyProtection="0">
      <alignment vertical="center"/>
    </xf>
    <xf numFmtId="0" fontId="4" fillId="0" borderId="0" applyNumberFormat="0" applyFill="0" applyBorder="0" applyAlignment="0" applyProtection="0">
      <alignment vertical="center"/>
    </xf>
    <xf numFmtId="0" fontId="1" fillId="0" borderId="0" applyNumberFormat="0" applyFill="0" applyBorder="0" applyAlignment="0" applyProtection="0">
      <alignment horizontal="left" vertical="center"/>
    </xf>
    <xf numFmtId="0" fontId="5" fillId="0" borderId="0" applyNumberFormat="0" applyFill="0" applyBorder="0" applyAlignment="0" applyProtection="0">
      <alignment vertical="center"/>
    </xf>
    <xf numFmtId="0" fontId="2" fillId="11" borderId="0" applyNumberFormat="0" applyFont="0" applyBorder="0" applyAlignment="0" applyProtection="0">
      <alignment vertical="center"/>
    </xf>
    <xf numFmtId="0" fontId="2" fillId="0" borderId="6" applyNumberFormat="0" applyAlignment="0">
      <alignment vertical="center"/>
    </xf>
    <xf numFmtId="0" fontId="2" fillId="0" borderId="2" applyNumberFormat="0" applyAlignment="0">
      <alignment vertical="center"/>
      <protection locked="0"/>
    </xf>
    <xf numFmtId="164" fontId="2" fillId="3" borderId="2" applyNumberFormat="0" applyAlignment="0">
      <alignment vertical="center"/>
      <protection locked="0"/>
    </xf>
    <xf numFmtId="0" fontId="2" fillId="4" borderId="0" applyNumberFormat="0" applyAlignment="0">
      <alignment vertical="center"/>
    </xf>
    <xf numFmtId="0" fontId="2" fillId="6" borderId="0" applyNumberFormat="0" applyAlignment="0">
      <alignment vertical="center"/>
    </xf>
    <xf numFmtId="0" fontId="2" fillId="5" borderId="0" applyNumberFormat="0" applyAlignment="0">
      <alignment vertical="center"/>
    </xf>
    <xf numFmtId="0" fontId="2" fillId="0" borderId="1" applyNumberFormat="0" applyAlignment="0">
      <alignment vertical="center"/>
      <protection locked="0"/>
    </xf>
    <xf numFmtId="0" fontId="11" fillId="0" borderId="0" applyNumberFormat="0" applyAlignment="0">
      <alignment vertical="center"/>
    </xf>
    <xf numFmtId="0" fontId="7" fillId="0" borderId="0" applyNumberFormat="0" applyFill="0" applyBorder="0" applyAlignment="0" applyProtection="0">
      <alignment vertical="center"/>
    </xf>
    <xf numFmtId="185" fontId="2" fillId="0" borderId="0" applyFont="0" applyFill="0" applyBorder="0" applyAlignment="0" applyProtection="0">
      <alignment vertical="center"/>
    </xf>
    <xf numFmtId="186" fontId="2" fillId="0" borderId="0" applyFont="0" applyFill="0" applyBorder="0" applyAlignment="0" applyProtection="0">
      <alignment vertical="center"/>
    </xf>
    <xf numFmtId="0" fontId="2" fillId="7" borderId="0" applyNumberFormat="0" applyFont="0" applyBorder="0" applyAlignment="0" applyProtection="0">
      <alignment vertical="center"/>
    </xf>
    <xf numFmtId="187" fontId="2" fillId="0" borderId="0" applyFont="0" applyFill="0" applyBorder="0" applyAlignment="0" applyProtection="0">
      <alignment horizontal="right" vertical="center"/>
    </xf>
    <xf numFmtId="188" fontId="2" fillId="0" borderId="0" applyFont="0" applyFill="0" applyBorder="0" applyAlignment="0" applyProtection="0">
      <alignment vertical="center"/>
    </xf>
    <xf numFmtId="0" fontId="5" fillId="0" borderId="0" applyNumberFormat="0" applyFill="0" applyBorder="0">
      <alignment horizontal="left" vertical="center" wrapText="1"/>
    </xf>
    <xf numFmtId="0" fontId="2" fillId="0" borderId="0" applyNumberFormat="0" applyFill="0" applyBorder="0">
      <alignment horizontal="left" vertical="center" wrapText="1" indent="1"/>
    </xf>
    <xf numFmtId="164" fontId="5" fillId="0" borderId="3" applyNumberFormat="0" applyFill="0" applyAlignment="0" applyProtection="0">
      <alignment vertical="center"/>
    </xf>
    <xf numFmtId="164" fontId="2" fillId="0" borderId="4" applyNumberFormat="0" applyFont="0" applyFill="0" applyAlignment="0" applyProtection="0">
      <alignment vertical="center"/>
    </xf>
    <xf numFmtId="0" fontId="2" fillId="2" borderId="0" applyNumberFormat="0" applyFont="0" applyBorder="0" applyAlignment="0" applyProtection="0">
      <alignment vertical="center"/>
    </xf>
    <xf numFmtId="0" fontId="2" fillId="0" borderId="0" applyNumberFormat="0" applyFont="0" applyFill="0" applyAlignment="0" applyProtection="0">
      <alignment vertical="center"/>
    </xf>
    <xf numFmtId="164" fontId="2" fillId="0" borderId="0" applyNumberFormat="0" applyFont="0" applyBorder="0" applyAlignment="0" applyProtection="0">
      <alignment vertical="center"/>
    </xf>
    <xf numFmtId="49" fontId="2" fillId="0" borderId="0" applyFont="0" applyFill="0" applyBorder="0" applyAlignment="0" applyProtection="0">
      <alignment horizontal="center" vertical="center"/>
    </xf>
    <xf numFmtId="164" fontId="5" fillId="0" borderId="0" applyNumberFormat="0" applyFill="0" applyBorder="0" applyAlignment="0" applyProtection="0">
      <alignment vertical="center"/>
    </xf>
    <xf numFmtId="164" fontId="5" fillId="9" borderId="0" applyNumberFormat="0" applyAlignment="0" applyProtection="0">
      <alignment vertical="center"/>
    </xf>
    <xf numFmtId="0" fontId="2" fillId="0" borderId="0" applyNumberFormat="0" applyFont="0" applyBorder="0" applyAlignment="0" applyProtection="0">
      <alignment vertical="center"/>
    </xf>
    <xf numFmtId="0" fontId="2" fillId="0" borderId="0" applyNumberFormat="0" applyFont="0" applyAlignment="0" applyProtection="0">
      <alignment vertical="center"/>
    </xf>
    <xf numFmtId="0" fontId="2" fillId="0" borderId="0">
      <alignment vertical="center"/>
    </xf>
    <xf numFmtId="0" fontId="6" fillId="0" borderId="0" applyFill="0" applyBorder="0" applyAlignment="0" applyProtection="0">
      <alignment vertical="center"/>
    </xf>
    <xf numFmtId="0" fontId="3" fillId="0" borderId="0" applyFill="0" applyBorder="0" applyAlignment="0" applyProtection="0">
      <alignment vertical="center"/>
    </xf>
    <xf numFmtId="0" fontId="6" fillId="14" borderId="0" applyNumberFormat="0">
      <alignment vertical="center"/>
    </xf>
  </cellStyleXfs>
  <cellXfs count="129">
    <xf numFmtId="0" fontId="0" fillId="0" borderId="0" xfId="0">
      <alignment vertical="center"/>
    </xf>
    <xf numFmtId="0" fontId="12" fillId="10" borderId="0" xfId="3">
      <alignment horizontal="center" vertical="top" wrapText="1"/>
    </xf>
    <xf numFmtId="185" fontId="0" fillId="0" borderId="0" xfId="38" applyFont="1">
      <alignment vertical="center"/>
    </xf>
    <xf numFmtId="0" fontId="2" fillId="0" borderId="0" xfId="44">
      <alignment horizontal="left" vertical="center" wrapText="1" indent="1"/>
    </xf>
    <xf numFmtId="0" fontId="5" fillId="0" borderId="0" xfId="43">
      <alignment horizontal="left" vertical="center" wrapText="1"/>
    </xf>
    <xf numFmtId="0" fontId="5" fillId="9" borderId="0" xfId="52" applyNumberFormat="1" applyAlignment="1">
      <alignment horizontal="left" vertical="center" wrapText="1"/>
    </xf>
    <xf numFmtId="0" fontId="5" fillId="0" borderId="3" xfId="45" applyNumberFormat="1" applyAlignment="1">
      <alignment horizontal="left" vertical="center" wrapText="1" indent="1"/>
    </xf>
    <xf numFmtId="0" fontId="4" fillId="0" borderId="0" xfId="25">
      <alignment vertical="center"/>
    </xf>
    <xf numFmtId="164" fontId="2" fillId="0" borderId="1" xfId="35" applyNumberFormat="1">
      <alignment vertical="center"/>
      <protection locked="0"/>
    </xf>
    <xf numFmtId="164" fontId="2" fillId="0" borderId="6" xfId="29" applyNumberFormat="1">
      <alignment vertical="center"/>
    </xf>
    <xf numFmtId="164" fontId="2" fillId="0" borderId="2" xfId="30" applyNumberFormat="1">
      <alignment vertical="center"/>
      <protection locked="0"/>
    </xf>
    <xf numFmtId="164" fontId="2" fillId="4" borderId="0" xfId="32" applyNumberFormat="1">
      <alignment vertical="center"/>
    </xf>
    <xf numFmtId="164" fontId="2" fillId="0" borderId="0" xfId="1" applyNumberFormat="1">
      <alignment vertical="center"/>
    </xf>
    <xf numFmtId="164" fontId="2" fillId="7" borderId="0" xfId="40" applyNumberFormat="1">
      <alignment vertical="center"/>
    </xf>
    <xf numFmtId="164" fontId="2" fillId="11" borderId="0" xfId="28" applyNumberFormat="1">
      <alignment vertical="center"/>
    </xf>
    <xf numFmtId="186" fontId="0" fillId="0" borderId="0" xfId="39" applyFont="1">
      <alignment vertical="center"/>
    </xf>
    <xf numFmtId="169" fontId="0" fillId="0" borderId="0" xfId="7" applyFont="1">
      <alignment vertical="center"/>
    </xf>
    <xf numFmtId="170" fontId="0" fillId="0" borderId="0" xfId="9" applyFont="1">
      <alignment vertical="center"/>
    </xf>
    <xf numFmtId="171" fontId="0" fillId="0" borderId="0" xfId="14" applyFont="1">
      <alignment vertical="center"/>
    </xf>
    <xf numFmtId="172" fontId="0" fillId="0" borderId="0" xfId="15" applyFont="1">
      <alignment vertical="center"/>
    </xf>
    <xf numFmtId="173" fontId="0" fillId="0" borderId="0" xfId="12" applyFont="1">
      <alignment vertical="center"/>
    </xf>
    <xf numFmtId="174" fontId="0" fillId="0" borderId="0" xfId="13" applyFont="1">
      <alignment vertical="center"/>
    </xf>
    <xf numFmtId="168" fontId="0" fillId="0" borderId="0" xfId="22" applyFont="1">
      <alignment vertical="center"/>
    </xf>
    <xf numFmtId="0" fontId="7" fillId="0" borderId="0" xfId="37">
      <alignment vertical="center"/>
    </xf>
    <xf numFmtId="175" fontId="0" fillId="0" borderId="0" xfId="10" applyFont="1">
      <alignment vertical="center"/>
    </xf>
    <xf numFmtId="176" fontId="0" fillId="0" borderId="0" xfId="11" applyFont="1">
      <alignment vertical="center"/>
    </xf>
    <xf numFmtId="177" fontId="0" fillId="0" borderId="0" xfId="20" applyFont="1">
      <alignment vertical="center"/>
    </xf>
    <xf numFmtId="178" fontId="0" fillId="0" borderId="0" xfId="21" applyFont="1">
      <alignment vertical="center"/>
    </xf>
    <xf numFmtId="179" fontId="0" fillId="0" borderId="0" xfId="18" applyFont="1">
      <alignment vertical="center"/>
    </xf>
    <xf numFmtId="180" fontId="0" fillId="0" borderId="0" xfId="19" applyFont="1">
      <alignment vertical="center"/>
    </xf>
    <xf numFmtId="181" fontId="0" fillId="0" borderId="0" xfId="16" applyFont="1">
      <alignment vertical="center"/>
    </xf>
    <xf numFmtId="182" fontId="0" fillId="0" borderId="0" xfId="17" applyFont="1">
      <alignment vertical="center"/>
    </xf>
    <xf numFmtId="184" fontId="0" fillId="0" borderId="0" xfId="24" applyFont="1">
      <alignment vertical="center"/>
    </xf>
    <xf numFmtId="0" fontId="5" fillId="0" borderId="0" xfId="27">
      <alignment vertical="center"/>
    </xf>
    <xf numFmtId="0" fontId="1" fillId="0" borderId="0" xfId="26" applyAlignment="1">
      <alignment vertical="center"/>
    </xf>
    <xf numFmtId="0" fontId="5" fillId="0" borderId="3" xfId="45" applyNumberFormat="1">
      <alignment vertical="center"/>
    </xf>
    <xf numFmtId="0" fontId="5" fillId="9" borderId="0" xfId="52" applyNumberFormat="1">
      <alignment vertical="center"/>
    </xf>
    <xf numFmtId="0" fontId="0" fillId="2" borderId="0" xfId="47" applyFont="1">
      <alignment vertical="center"/>
    </xf>
    <xf numFmtId="0" fontId="0" fillId="0" borderId="4" xfId="46" applyNumberFormat="1" applyFont="1">
      <alignment vertical="center"/>
    </xf>
    <xf numFmtId="164" fontId="11" fillId="0" borderId="0" xfId="36" applyNumberFormat="1">
      <alignment vertical="center"/>
    </xf>
    <xf numFmtId="164" fontId="7" fillId="0" borderId="0" xfId="37" applyNumberFormat="1">
      <alignment vertical="center"/>
    </xf>
    <xf numFmtId="0" fontId="0" fillId="0" borderId="0" xfId="0">
      <alignment vertical="center"/>
    </xf>
    <xf numFmtId="0" fontId="11" fillId="0" borderId="0" xfId="36">
      <alignment vertical="center"/>
    </xf>
    <xf numFmtId="0" fontId="0" fillId="11" borderId="0" xfId="28" applyFont="1">
      <alignment vertical="center"/>
    </xf>
    <xf numFmtId="0" fontId="7" fillId="0" borderId="0" xfId="37" applyFont="1">
      <alignment vertical="center"/>
    </xf>
    <xf numFmtId="164" fontId="0" fillId="2" borderId="0" xfId="47" applyNumberFormat="1" applyFont="1">
      <alignment vertical="center"/>
    </xf>
    <xf numFmtId="166" fontId="0" fillId="2" borderId="0" xfId="47" applyNumberFormat="1" applyFont="1">
      <alignment vertical="center"/>
    </xf>
    <xf numFmtId="166" fontId="0" fillId="0" borderId="0" xfId="49" applyNumberFormat="1" applyFont="1">
      <alignment vertical="center"/>
    </xf>
    <xf numFmtId="167" fontId="0" fillId="0" borderId="0" xfId="49" applyNumberFormat="1" applyFont="1">
      <alignment vertical="center"/>
    </xf>
    <xf numFmtId="0" fontId="0" fillId="0" borderId="0" xfId="53" applyFont="1">
      <alignment vertical="center"/>
    </xf>
    <xf numFmtId="164" fontId="2" fillId="0" borderId="0" xfId="53" applyNumberFormat="1">
      <alignment vertical="center"/>
    </xf>
    <xf numFmtId="0" fontId="0" fillId="0" borderId="0" xfId="49" applyNumberFormat="1" applyFont="1">
      <alignment vertical="center"/>
    </xf>
    <xf numFmtId="164" fontId="2" fillId="3" borderId="2" xfId="31">
      <alignment vertical="center"/>
      <protection locked="0"/>
    </xf>
    <xf numFmtId="0" fontId="5" fillId="0" borderId="0" xfId="43" applyAlignment="1">
      <alignment horizontal="left" vertical="center" wrapText="1"/>
    </xf>
    <xf numFmtId="0" fontId="0" fillId="0" borderId="0" xfId="0" applyBorder="1">
      <alignment vertical="center"/>
    </xf>
    <xf numFmtId="164" fontId="5" fillId="9" borderId="0" xfId="52">
      <alignment vertical="center"/>
    </xf>
    <xf numFmtId="164" fontId="5" fillId="7" borderId="0" xfId="40" applyNumberFormat="1" applyFont="1">
      <alignment vertical="center"/>
    </xf>
    <xf numFmtId="0" fontId="5" fillId="7" borderId="0" xfId="40" applyFont="1" applyAlignment="1">
      <alignment horizontal="left" vertical="center" wrapText="1"/>
    </xf>
    <xf numFmtId="165" fontId="8" fillId="0" borderId="0" xfId="2">
      <alignment vertical="center"/>
    </xf>
    <xf numFmtId="0" fontId="12" fillId="8" borderId="0" xfId="4">
      <alignment horizontal="left" vertical="top" wrapText="1"/>
    </xf>
    <xf numFmtId="0" fontId="13" fillId="8" borderId="0" xfId="6">
      <alignment horizontal="center" vertical="top" wrapText="1"/>
    </xf>
    <xf numFmtId="164" fontId="2" fillId="6" borderId="0" xfId="33" applyNumberFormat="1">
      <alignment vertical="center"/>
    </xf>
    <xf numFmtId="164" fontId="5" fillId="0" borderId="0" xfId="51">
      <alignment vertical="center"/>
    </xf>
    <xf numFmtId="0" fontId="12" fillId="8" borderId="0" xfId="5">
      <alignment horizontal="centerContinuous" vertical="top"/>
    </xf>
    <xf numFmtId="183" fontId="0" fillId="0" borderId="0" xfId="23" applyFont="1">
      <alignment vertical="center"/>
    </xf>
    <xf numFmtId="0" fontId="5" fillId="7" borderId="0" xfId="40" applyFont="1">
      <alignment vertical="center"/>
    </xf>
    <xf numFmtId="0" fontId="0" fillId="0" borderId="0" xfId="0" applyAlignment="1">
      <alignment horizontal="center" vertical="center"/>
    </xf>
    <xf numFmtId="0" fontId="0" fillId="0" borderId="0" xfId="0" applyFill="1" applyAlignment="1">
      <alignment horizontal="center" vertical="center"/>
    </xf>
    <xf numFmtId="0" fontId="2" fillId="5" borderId="0" xfId="34">
      <alignment vertical="center"/>
    </xf>
    <xf numFmtId="0" fontId="5" fillId="11" borderId="0" xfId="28" applyFont="1">
      <alignment vertical="center"/>
    </xf>
    <xf numFmtId="0" fontId="5" fillId="2" borderId="3" xfId="45" applyNumberFormat="1" applyFill="1">
      <alignment vertical="center"/>
    </xf>
    <xf numFmtId="0" fontId="6" fillId="0" borderId="0" xfId="56">
      <alignment vertical="center"/>
    </xf>
    <xf numFmtId="0" fontId="3" fillId="0" borderId="0" xfId="57">
      <alignment vertical="center"/>
    </xf>
    <xf numFmtId="0" fontId="6" fillId="0" borderId="0" xfId="56" applyFill="1" applyBorder="1">
      <alignment vertical="center"/>
    </xf>
    <xf numFmtId="0" fontId="6" fillId="0" borderId="0" xfId="56" applyFill="1">
      <alignment vertical="center"/>
    </xf>
    <xf numFmtId="187" fontId="0" fillId="0" borderId="0" xfId="41" applyFont="1" applyAlignment="1">
      <alignment vertical="center"/>
    </xf>
    <xf numFmtId="188" fontId="0" fillId="0" borderId="0" xfId="42" applyFont="1">
      <alignment vertical="center"/>
    </xf>
    <xf numFmtId="164" fontId="2" fillId="0" borderId="5" xfId="30" applyNumberFormat="1" applyBorder="1">
      <alignment vertical="center"/>
      <protection locked="0"/>
    </xf>
    <xf numFmtId="0" fontId="5" fillId="0" borderId="0" xfId="0" applyFont="1">
      <alignment vertical="center"/>
    </xf>
    <xf numFmtId="0" fontId="6" fillId="0" borderId="0" xfId="58" applyFill="1" applyBorder="1">
      <alignment vertical="center"/>
    </xf>
    <xf numFmtId="0" fontId="6" fillId="0" borderId="0" xfId="58" applyFont="1" applyFill="1">
      <alignment vertical="center"/>
    </xf>
    <xf numFmtId="9" fontId="2" fillId="0" borderId="2" xfId="30" applyNumberFormat="1">
      <alignment vertical="center"/>
      <protection locked="0"/>
    </xf>
    <xf numFmtId="186" fontId="2" fillId="0" borderId="2" xfId="30" applyNumberFormat="1">
      <alignment vertical="center"/>
      <protection locked="0"/>
    </xf>
    <xf numFmtId="186" fontId="2" fillId="0" borderId="6" xfId="29" applyNumberFormat="1">
      <alignment vertical="center"/>
    </xf>
    <xf numFmtId="0" fontId="2" fillId="0" borderId="2" xfId="30">
      <alignment vertical="center"/>
      <protection locked="0"/>
    </xf>
    <xf numFmtId="186" fontId="2" fillId="0" borderId="2" xfId="39" applyBorder="1" applyProtection="1">
      <alignment vertical="center"/>
      <protection locked="0"/>
    </xf>
    <xf numFmtId="186" fontId="2" fillId="0" borderId="2" xfId="39" applyBorder="1" applyAlignment="1" applyProtection="1">
      <protection locked="0"/>
    </xf>
    <xf numFmtId="187" fontId="2" fillId="4" borderId="0" xfId="41" applyFill="1" applyAlignment="1">
      <alignment vertical="center"/>
    </xf>
    <xf numFmtId="187" fontId="2" fillId="0" borderId="2" xfId="41" applyBorder="1" applyAlignment="1" applyProtection="1">
      <alignment vertical="center"/>
      <protection locked="0"/>
    </xf>
    <xf numFmtId="0" fontId="0" fillId="0" borderId="7" xfId="0" applyBorder="1">
      <alignment vertical="center"/>
    </xf>
    <xf numFmtId="0" fontId="12" fillId="8" borderId="0" xfId="4" applyAlignment="1">
      <alignment horizontal="left" vertical="top"/>
    </xf>
    <xf numFmtId="0" fontId="5" fillId="0" borderId="0" xfId="43" applyAlignment="1">
      <alignment horizontal="left" vertical="center"/>
    </xf>
    <xf numFmtId="0" fontId="5" fillId="0" borderId="0" xfId="54" applyFont="1" applyAlignment="1">
      <alignment horizontal="left" vertical="center"/>
    </xf>
    <xf numFmtId="187" fontId="2" fillId="0" borderId="2" xfId="30" applyNumberFormat="1" applyAlignment="1">
      <alignment vertical="center"/>
      <protection locked="0"/>
    </xf>
    <xf numFmtId="0" fontId="2" fillId="0" borderId="1" xfId="35">
      <alignment vertical="center"/>
      <protection locked="0"/>
    </xf>
    <xf numFmtId="0" fontId="0" fillId="0" borderId="0" xfId="0" applyAlignment="1">
      <alignment horizontal="left" vertical="center" indent="1"/>
    </xf>
    <xf numFmtId="187" fontId="2" fillId="0" borderId="6" xfId="29" applyNumberFormat="1" applyAlignment="1">
      <alignment vertical="center"/>
    </xf>
    <xf numFmtId="0" fontId="5" fillId="0" borderId="0" xfId="43" applyFill="1" applyBorder="1">
      <alignment horizontal="left" vertical="center" wrapText="1"/>
    </xf>
    <xf numFmtId="0" fontId="5" fillId="0" borderId="0" xfId="54" applyFont="1" applyAlignment="1">
      <alignment horizontal="left" vertical="center" wrapText="1"/>
    </xf>
    <xf numFmtId="9" fontId="2" fillId="0" borderId="1" xfId="35" applyNumberFormat="1">
      <alignment vertical="center"/>
      <protection locked="0"/>
    </xf>
    <xf numFmtId="186" fontId="2" fillId="0" borderId="2" xfId="30" applyNumberFormat="1" applyAlignment="1">
      <alignment vertical="center"/>
      <protection locked="0"/>
    </xf>
    <xf numFmtId="186" fontId="2" fillId="7" borderId="6" xfId="39" applyFill="1" applyBorder="1" applyAlignment="1">
      <alignment vertical="center"/>
    </xf>
    <xf numFmtId="186" fontId="2" fillId="4" borderId="0" xfId="32" applyNumberFormat="1">
      <alignment vertical="center"/>
    </xf>
    <xf numFmtId="0" fontId="5" fillId="15" borderId="0" xfId="0" applyFont="1" applyFill="1">
      <alignment vertical="center"/>
    </xf>
    <xf numFmtId="0" fontId="14" fillId="0" borderId="0" xfId="0" applyFont="1">
      <alignment vertical="center"/>
    </xf>
    <xf numFmtId="187" fontId="2" fillId="3" borderId="2" xfId="31" applyNumberFormat="1" applyAlignment="1">
      <alignment vertical="center"/>
      <protection locked="0"/>
    </xf>
    <xf numFmtId="0" fontId="2" fillId="0" borderId="6" xfId="29">
      <alignment vertical="center"/>
    </xf>
    <xf numFmtId="189" fontId="0" fillId="0" borderId="0" xfId="0" applyNumberFormat="1">
      <alignment vertical="center"/>
    </xf>
    <xf numFmtId="0" fontId="0" fillId="0" borderId="0" xfId="0" applyAlignment="1">
      <alignment horizontal="left" vertical="center" indent="2"/>
    </xf>
    <xf numFmtId="186" fontId="0" fillId="0" borderId="0" xfId="0" applyNumberFormat="1">
      <alignment vertical="center"/>
    </xf>
    <xf numFmtId="0" fontId="8" fillId="0" borderId="0" xfId="2" applyNumberFormat="1">
      <alignment vertical="center"/>
    </xf>
    <xf numFmtId="186" fontId="2" fillId="0" borderId="6" xfId="39" applyBorder="1">
      <alignment vertical="center"/>
    </xf>
    <xf numFmtId="0" fontId="0" fillId="0" borderId="0" xfId="0" applyNumberFormat="1" applyAlignment="1">
      <alignment horizontal="left" vertical="center" indent="1"/>
    </xf>
    <xf numFmtId="187" fontId="2" fillId="4" borderId="0" xfId="32" applyNumberFormat="1" applyAlignment="1">
      <alignment vertical="center"/>
    </xf>
    <xf numFmtId="186" fontId="2" fillId="7" borderId="6" xfId="40" applyNumberFormat="1" applyBorder="1">
      <alignment vertical="center"/>
    </xf>
    <xf numFmtId="186" fontId="2" fillId="0" borderId="6" xfId="29" applyNumberFormat="1" applyAlignment="1">
      <alignment vertical="center"/>
    </xf>
    <xf numFmtId="190" fontId="8" fillId="0" borderId="0" xfId="2" applyNumberFormat="1">
      <alignment vertical="center"/>
    </xf>
    <xf numFmtId="0" fontId="5" fillId="13" borderId="0" xfId="0" applyFont="1" applyFill="1" applyAlignment="1">
      <alignment horizontal="center" vertical="center"/>
    </xf>
    <xf numFmtId="0" fontId="5" fillId="16" borderId="0" xfId="0" applyFont="1" applyFill="1" applyAlignment="1">
      <alignment horizontal="center" vertical="center"/>
    </xf>
    <xf numFmtId="0" fontId="5" fillId="12" borderId="0" xfId="0" applyFont="1" applyFill="1" applyAlignment="1">
      <alignment horizontal="center" vertical="center"/>
    </xf>
    <xf numFmtId="0" fontId="5" fillId="15" borderId="0" xfId="0" applyFont="1" applyFill="1" applyAlignment="1">
      <alignment horizontal="center" vertical="center"/>
    </xf>
    <xf numFmtId="187" fontId="2" fillId="0" borderId="1" xfId="41" applyBorder="1" applyAlignment="1" applyProtection="1">
      <alignment vertical="center"/>
      <protection locked="0"/>
    </xf>
    <xf numFmtId="0" fontId="5" fillId="0" borderId="0" xfId="0" applyFont="1" applyAlignment="1">
      <alignment horizontal="center" vertical="center"/>
    </xf>
    <xf numFmtId="0" fontId="15" fillId="0" borderId="0" xfId="0" quotePrefix="1" applyFont="1">
      <alignment vertical="center"/>
    </xf>
    <xf numFmtId="0" fontId="16" fillId="0" borderId="0" xfId="0" quotePrefix="1" applyFont="1">
      <alignment vertical="center"/>
    </xf>
    <xf numFmtId="0" fontId="5" fillId="13" borderId="0" xfId="0" applyFont="1" applyFill="1" applyAlignment="1">
      <alignment horizontal="center" vertical="center"/>
    </xf>
    <xf numFmtId="0" fontId="5" fillId="16" borderId="0" xfId="0" applyFont="1" applyFill="1" applyAlignment="1">
      <alignment horizontal="center" vertical="center"/>
    </xf>
    <xf numFmtId="0" fontId="5" fillId="12" borderId="0" xfId="0" applyFont="1" applyFill="1" applyAlignment="1">
      <alignment horizontal="center" vertical="center"/>
    </xf>
    <xf numFmtId="0" fontId="5" fillId="15" borderId="0" xfId="0" applyFont="1" applyFill="1" applyAlignment="1">
      <alignment horizontal="center" vertical="center"/>
    </xf>
  </cellXfs>
  <cellStyles count="59">
    <cellStyle name="Berekening" xfId="1" builtinId="22" customBuiltin="1"/>
    <cellStyle name="Checksum" xfId="2"/>
    <cellStyle name="Column label" xfId="3"/>
    <cellStyle name="Column label (left aligned)" xfId="4"/>
    <cellStyle name="Column label (no wrap)" xfId="5"/>
    <cellStyle name="Column label (not bold)" xfId="6"/>
    <cellStyle name="Currency (0dp)" xfId="8"/>
    <cellStyle name="Currency (2dp)" xfId="9"/>
    <cellStyle name="Currency Dollar" xfId="10"/>
    <cellStyle name="Currency Dollar (2dp)" xfId="11"/>
    <cellStyle name="Currency EUR" xfId="12"/>
    <cellStyle name="Currency EUR (2dp)" xfId="13"/>
    <cellStyle name="Currency Euro" xfId="14"/>
    <cellStyle name="Currency Euro (2dp)" xfId="15"/>
    <cellStyle name="Currency GBP" xfId="16"/>
    <cellStyle name="Currency GBP (2dp)" xfId="17"/>
    <cellStyle name="Currency Pound" xfId="18"/>
    <cellStyle name="Currency Pound (2dp)" xfId="19"/>
    <cellStyle name="Currency USD" xfId="20"/>
    <cellStyle name="Currency USD (2dp)" xfId="21"/>
    <cellStyle name="Date" xfId="22"/>
    <cellStyle name="Date (Month)" xfId="23"/>
    <cellStyle name="Date (Year)" xfId="24"/>
    <cellStyle name="H0" xfId="56"/>
    <cellStyle name="H0 2" xfId="58"/>
    <cellStyle name="H1" xfId="57"/>
    <cellStyle name="H2" xfId="25"/>
    <cellStyle name="H3" xfId="26"/>
    <cellStyle name="H4" xfId="27"/>
    <cellStyle name="Highlight" xfId="28"/>
    <cellStyle name="Input calculation" xfId="29"/>
    <cellStyle name="Input data" xfId="30"/>
    <cellStyle name="Input estimate" xfId="31"/>
    <cellStyle name="Input link" xfId="32"/>
    <cellStyle name="Input link (different workbook)" xfId="33"/>
    <cellStyle name="Input Link (different Worksheet)" xfId="34"/>
    <cellStyle name="Input parameter" xfId="35"/>
    <cellStyle name="Name" xfId="36"/>
    <cellStyle name="Normal 2" xfId="55"/>
    <cellStyle name="Notitie" xfId="37" builtinId="10" customBuiltin="1"/>
    <cellStyle name="Number" xfId="38"/>
    <cellStyle name="Number (2dp)" xfId="39"/>
    <cellStyle name="Percentage" xfId="41"/>
    <cellStyle name="Percentage (2dp)" xfId="42"/>
    <cellStyle name="Row label" xfId="43"/>
    <cellStyle name="Row label (indent)" xfId="44"/>
    <cellStyle name="Standaard" xfId="0" builtinId="0"/>
    <cellStyle name="Sub-total row" xfId="45"/>
    <cellStyle name="Table finish row" xfId="46"/>
    <cellStyle name="Table shading" xfId="47"/>
    <cellStyle name="Table unfinish row" xfId="48"/>
    <cellStyle name="Table unshading" xfId="49"/>
    <cellStyle name="Text" xfId="50"/>
    <cellStyle name="Totaal" xfId="51" builtinId="25" customBuiltin="1"/>
    <cellStyle name="Total row" xfId="52"/>
    <cellStyle name="Uitvoer" xfId="40" builtinId="21" customBuiltin="1"/>
    <cellStyle name="Unhighlight" xfId="53"/>
    <cellStyle name="Untotal row" xfId="54"/>
    <cellStyle name="Valuta" xfId="7" builtinId="4"/>
  </cellStyles>
  <dxfs count="1">
    <dxf>
      <font>
        <b/>
        <i/>
        <color rgb="FFFFFF00"/>
      </font>
      <fill>
        <patternFill>
          <bgColor rgb="FFC4123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8080"/>
      <rgbColor rgb="00BFDCF9"/>
      <rgbColor rgb="00C00000"/>
      <rgbColor rgb="00008000"/>
      <rgbColor rgb="000000C0"/>
      <rgbColor rgb="00808000"/>
      <rgbColor rgb="00FF00FF"/>
      <rgbColor rgb="000060C0"/>
      <rgbColor rgb="00E0E0E0"/>
      <rgbColor rgb="00A0A0A0"/>
      <rgbColor rgb="00DDB9D8"/>
      <rgbColor rgb="00CDDCEF"/>
      <rgbColor rgb="00A6BEDA"/>
      <rgbColor rgb="00F6DCC2"/>
      <rgbColor rgb="00EFC2C1"/>
      <rgbColor rgb="00DBD7DB"/>
      <rgbColor rgb="00C2CAAA"/>
      <rgbColor rgb="00F5EEB9"/>
      <rgbColor rgb="00A670A1"/>
      <rgbColor rgb="0099CEFF"/>
      <rgbColor rgb="0000679A"/>
      <rgbColor rgb="00ECB088"/>
      <rgbColor rgb="00ED7F7F"/>
      <rgbColor rgb="00A79FAF"/>
      <rgbColor rgb="0049BB3D"/>
      <rgbColor rgb="00E3DE15"/>
      <rgbColor rgb="00C0C0FF"/>
      <rgbColor rgb="00CCECFF"/>
      <rgbColor rgb="00D0FFD0"/>
      <rgbColor rgb="00FFFFA0"/>
      <rgbColor rgb="00E0E0FF"/>
      <rgbColor rgb="00FFC0C0"/>
      <rgbColor rgb="00FFC0FF"/>
      <rgbColor rgb="00FFF1C9"/>
      <rgbColor rgb="008080FF"/>
      <rgbColor rgb="000080FF"/>
      <rgbColor rgb="00C0C000"/>
      <rgbColor rgb="00FFE0A0"/>
      <rgbColor rgb="00FF8000"/>
      <rgbColor rgb="00C06000"/>
      <rgbColor rgb="00C000C0"/>
      <rgbColor rgb="00C0C0C0"/>
      <rgbColor rgb="00003A47"/>
      <rgbColor rgb="0000C000"/>
      <rgbColor rgb="00006000"/>
      <rgbColor rgb="00606000"/>
      <rgbColor rgb="00804000"/>
      <rgbColor rgb="00FF80FF"/>
      <rgbColor rgb="00800080"/>
      <rgbColor rgb="00808080"/>
    </indexedColors>
    <mruColors>
      <color rgb="FF221F72"/>
      <color rgb="FFC4D0E9"/>
      <color rgb="FFFFFFFF"/>
      <color rgb="FFFFFAB3"/>
      <color rgb="FFFFE0A0"/>
      <color rgb="FFC41230"/>
      <color rgb="FFFFFF00"/>
      <color rgb="FF00FF00"/>
      <color rgb="FFB4FF3C"/>
      <color rgb="FFD0FFD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1057275</xdr:colOff>
      <xdr:row>0</xdr:row>
      <xdr:rowOff>419100</xdr:rowOff>
    </xdr:to>
    <xdr:pic>
      <xdr:nvPicPr>
        <xdr:cNvPr id="2124"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82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9525</xdr:colOff>
      <xdr:row>0</xdr:row>
      <xdr:rowOff>9525</xdr:rowOff>
    </xdr:from>
    <xdr:ext cx="1114425" cy="419100"/>
    <xdr:pic>
      <xdr:nvPicPr>
        <xdr:cNvPr id="2" name="Picture 8" descr="P:\projects\EG011\WP\EG011040\AnalysysMason2.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9525"/>
          <a:ext cx="111442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1</xdr:col>
      <xdr:colOff>666750</xdr:colOff>
      <xdr:row>1</xdr:row>
      <xdr:rowOff>0</xdr:rowOff>
    </xdr:to>
    <xdr:pic>
      <xdr:nvPicPr>
        <xdr:cNvPr id="2" name="Picture 8" descr="P:\projects\EG011\WP\EG011040\AnalysysMason2.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111442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1</xdr:col>
      <xdr:colOff>666750</xdr:colOff>
      <xdr:row>1</xdr:row>
      <xdr:rowOff>0</xdr:rowOff>
    </xdr:to>
    <xdr:pic>
      <xdr:nvPicPr>
        <xdr:cNvPr id="2" name="Picture 8" descr="P:\projects\EG011\WP\EG011040\AnalysysMason2.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111442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1</xdr:col>
      <xdr:colOff>666750</xdr:colOff>
      <xdr:row>1</xdr:row>
      <xdr:rowOff>0</xdr:rowOff>
    </xdr:to>
    <xdr:pic>
      <xdr:nvPicPr>
        <xdr:cNvPr id="4143" name="Picture 8" descr="P:\projects\EG011\WP\EG011040\AnalysysMason2.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111442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AnalysysMasonXL">
  <a:themeElements>
    <a:clrScheme name="AnalysysMasonXL">
      <a:dk1>
        <a:srgbClr val="003352"/>
      </a:dk1>
      <a:lt1>
        <a:srgbClr val="FFFFFF"/>
      </a:lt1>
      <a:dk2>
        <a:srgbClr val="003352"/>
      </a:dk2>
      <a:lt2>
        <a:srgbClr val="61586C"/>
      </a:lt2>
      <a:accent1>
        <a:srgbClr val="221F72"/>
      </a:accent1>
      <a:accent2>
        <a:srgbClr val="6762D4"/>
      </a:accent2>
      <a:accent3>
        <a:srgbClr val="A5A2E6"/>
      </a:accent3>
      <a:accent4>
        <a:srgbClr val="5A2149"/>
      </a:accent4>
      <a:accent5>
        <a:srgbClr val="9F3B80"/>
      </a:accent5>
      <a:accent6>
        <a:srgbClr val="D284BA"/>
      </a:accent6>
      <a:hlink>
        <a:srgbClr val="013352"/>
      </a:hlink>
      <a:folHlink>
        <a:srgbClr val="003352"/>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reamble3">
    <outlinePr summaryBelow="0"/>
    <pageSetUpPr autoPageBreaks="0" fitToPage="1"/>
  </sheetPr>
  <dimension ref="A1:M145"/>
  <sheetViews>
    <sheetView showGridLines="0" defaultGridColor="0" colorId="22" zoomScale="110" zoomScaleNormal="110" workbookViewId="0">
      <pane ySplit="1" topLeftCell="A2" activePane="bottomLeft" state="frozen"/>
      <selection activeCell="A16" sqref="A16"/>
      <selection pane="bottomLeft" activeCell="A2" sqref="A2"/>
    </sheetView>
  </sheetViews>
  <sheetFormatPr defaultColWidth="12.75" defaultRowHeight="11.4" x14ac:dyDescent="0.2"/>
  <cols>
    <col min="1" max="1" width="2.75" customWidth="1"/>
    <col min="2" max="2" width="26.625" customWidth="1"/>
  </cols>
  <sheetData>
    <row r="1" spans="1:13" s="66" customFormat="1" ht="33.75" customHeight="1" x14ac:dyDescent="0.2">
      <c r="C1" s="73" t="s">
        <v>120</v>
      </c>
    </row>
    <row r="2" spans="1:13" s="54" customFormat="1" ht="12" customHeight="1" x14ac:dyDescent="0.2"/>
    <row r="3" spans="1:13" x14ac:dyDescent="0.2">
      <c r="A3" s="23" t="s">
        <v>94</v>
      </c>
    </row>
    <row r="4" spans="1:13" x14ac:dyDescent="0.2">
      <c r="A4" s="44" t="s">
        <v>119</v>
      </c>
    </row>
    <row r="6" spans="1:13" ht="17.399999999999999" x14ac:dyDescent="0.2">
      <c r="A6" s="7" t="s">
        <v>82</v>
      </c>
    </row>
    <row r="7" spans="1:13" ht="12" x14ac:dyDescent="0.2">
      <c r="A7" s="69" t="s">
        <v>83</v>
      </c>
      <c r="B7" s="43"/>
      <c r="C7" s="43"/>
      <c r="D7" s="43"/>
      <c r="E7" s="43"/>
    </row>
    <row r="8" spans="1:13" x14ac:dyDescent="0.2">
      <c r="A8" s="23" t="s">
        <v>114</v>
      </c>
    </row>
    <row r="10" spans="1:13" ht="12" x14ac:dyDescent="0.2">
      <c r="B10" s="53" t="s">
        <v>22</v>
      </c>
      <c r="C10" s="8">
        <v>100</v>
      </c>
      <c r="D10" s="23" t="s">
        <v>1</v>
      </c>
      <c r="E10" t="s">
        <v>52</v>
      </c>
    </row>
    <row r="12" spans="1:13" ht="12" x14ac:dyDescent="0.2">
      <c r="B12" s="4" t="s">
        <v>22</v>
      </c>
      <c r="C12" s="8">
        <v>250</v>
      </c>
      <c r="D12" s="23" t="s">
        <v>1</v>
      </c>
      <c r="E12" s="49" t="s">
        <v>68</v>
      </c>
      <c r="F12" s="49"/>
      <c r="G12" s="49"/>
      <c r="H12" s="49"/>
      <c r="I12" s="49"/>
      <c r="J12" s="49"/>
      <c r="K12" s="49"/>
    </row>
    <row r="13" spans="1:13" hidden="1" x14ac:dyDescent="0.2">
      <c r="B13" s="3" t="s">
        <v>70</v>
      </c>
      <c r="C13" s="2">
        <v>100</v>
      </c>
    </row>
    <row r="14" spans="1:13" hidden="1" x14ac:dyDescent="0.2">
      <c r="B14" s="3" t="s">
        <v>71</v>
      </c>
      <c r="C14" s="2">
        <v>300</v>
      </c>
    </row>
    <row r="16" spans="1:13" ht="12" x14ac:dyDescent="0.2">
      <c r="B16" s="4" t="s">
        <v>22</v>
      </c>
      <c r="C16" s="8">
        <v>300</v>
      </c>
      <c r="D16" s="23" t="s">
        <v>1</v>
      </c>
      <c r="E16" s="49" t="s">
        <v>72</v>
      </c>
      <c r="F16" s="49"/>
      <c r="G16" s="49"/>
      <c r="H16" s="49"/>
      <c r="I16" s="49"/>
      <c r="J16" s="49"/>
      <c r="K16" s="49"/>
      <c r="L16" s="49"/>
      <c r="M16" s="49"/>
    </row>
    <row r="17" spans="2:5" hidden="1" x14ac:dyDescent="0.2">
      <c r="B17" s="3" t="s">
        <v>69</v>
      </c>
      <c r="C17" s="2">
        <v>100</v>
      </c>
    </row>
    <row r="18" spans="2:5" hidden="1" x14ac:dyDescent="0.2">
      <c r="C18" s="2">
        <v>200</v>
      </c>
    </row>
    <row r="19" spans="2:5" hidden="1" x14ac:dyDescent="0.2">
      <c r="C19" s="2">
        <v>300</v>
      </c>
    </row>
    <row r="21" spans="2:5" ht="12" x14ac:dyDescent="0.2">
      <c r="B21" s="4" t="s">
        <v>23</v>
      </c>
      <c r="C21" s="10">
        <v>100</v>
      </c>
      <c r="D21" s="23" t="s">
        <v>1</v>
      </c>
      <c r="E21" t="s">
        <v>51</v>
      </c>
    </row>
    <row r="23" spans="2:5" ht="12" x14ac:dyDescent="0.2">
      <c r="B23" s="4" t="s">
        <v>78</v>
      </c>
      <c r="C23" s="52">
        <v>100</v>
      </c>
      <c r="D23" s="23" t="s">
        <v>1</v>
      </c>
      <c r="E23" t="s">
        <v>79</v>
      </c>
    </row>
    <row r="25" spans="2:5" ht="12" x14ac:dyDescent="0.2">
      <c r="B25" s="4" t="s">
        <v>24</v>
      </c>
      <c r="C25" s="9">
        <v>100</v>
      </c>
      <c r="D25" s="23" t="s">
        <v>2</v>
      </c>
      <c r="E25" t="s">
        <v>126</v>
      </c>
    </row>
    <row r="27" spans="2:5" ht="12" x14ac:dyDescent="0.2">
      <c r="B27" s="4" t="s">
        <v>25</v>
      </c>
      <c r="C27" s="11">
        <v>100</v>
      </c>
      <c r="D27" s="23" t="s">
        <v>2</v>
      </c>
      <c r="E27" t="s">
        <v>117</v>
      </c>
    </row>
    <row r="29" spans="2:5" ht="12" customHeight="1" x14ac:dyDescent="0.2">
      <c r="B29" s="4" t="s">
        <v>116</v>
      </c>
      <c r="C29" s="68">
        <v>100</v>
      </c>
      <c r="D29" s="23" t="s">
        <v>2</v>
      </c>
      <c r="E29" t="s">
        <v>118</v>
      </c>
    </row>
    <row r="31" spans="2:5" ht="12" customHeight="1" x14ac:dyDescent="0.2">
      <c r="B31" s="4" t="s">
        <v>101</v>
      </c>
      <c r="C31" s="61">
        <v>100</v>
      </c>
      <c r="D31" s="23" t="s">
        <v>2</v>
      </c>
      <c r="E31" t="s">
        <v>102</v>
      </c>
    </row>
    <row r="33" spans="1:11" ht="17.399999999999999" x14ac:dyDescent="0.2">
      <c r="A33" s="7" t="s">
        <v>84</v>
      </c>
    </row>
    <row r="34" spans="1:11" ht="12" x14ac:dyDescent="0.2">
      <c r="A34" s="69" t="s">
        <v>85</v>
      </c>
      <c r="B34" s="43"/>
      <c r="C34" s="43"/>
      <c r="D34" s="43"/>
      <c r="E34" s="43"/>
    </row>
    <row r="35" spans="1:11" x14ac:dyDescent="0.2">
      <c r="A35" s="23" t="s">
        <v>115</v>
      </c>
    </row>
    <row r="37" spans="1:11" ht="12" x14ac:dyDescent="0.2">
      <c r="B37" s="4" t="s">
        <v>3</v>
      </c>
      <c r="C37" s="12">
        <v>100</v>
      </c>
      <c r="D37" s="23" t="s">
        <v>2</v>
      </c>
      <c r="E37" t="s">
        <v>50</v>
      </c>
    </row>
    <row r="38" spans="1:11" x14ac:dyDescent="0.2">
      <c r="C38" s="12"/>
    </row>
    <row r="39" spans="1:11" ht="12" x14ac:dyDescent="0.2">
      <c r="B39" s="4" t="s">
        <v>91</v>
      </c>
      <c r="C39" s="62">
        <v>123.45</v>
      </c>
      <c r="E39" t="s">
        <v>54</v>
      </c>
    </row>
    <row r="41" spans="1:11" ht="12" x14ac:dyDescent="0.2">
      <c r="B41" s="4" t="s">
        <v>103</v>
      </c>
      <c r="C41" s="58">
        <v>0</v>
      </c>
      <c r="D41" s="23" t="s">
        <v>2</v>
      </c>
      <c r="E41" t="s">
        <v>53</v>
      </c>
      <c r="F41" s="49"/>
      <c r="G41" s="49"/>
      <c r="H41" s="49"/>
      <c r="I41" s="49"/>
      <c r="J41" s="49"/>
      <c r="K41" s="49"/>
    </row>
    <row r="43" spans="1:11" ht="12" x14ac:dyDescent="0.2">
      <c r="B43" s="4" t="s">
        <v>103</v>
      </c>
      <c r="C43" s="58">
        <v>0.1</v>
      </c>
      <c r="D43" s="23" t="s">
        <v>2</v>
      </c>
      <c r="E43" s="49" t="s">
        <v>122</v>
      </c>
      <c r="F43" s="49"/>
      <c r="G43" s="49"/>
      <c r="H43" s="49"/>
      <c r="I43" s="49"/>
      <c r="J43" s="49"/>
      <c r="K43" s="49"/>
    </row>
    <row r="45" spans="1:11" ht="12" x14ac:dyDescent="0.2">
      <c r="B45" s="4" t="s">
        <v>4</v>
      </c>
      <c r="C45" s="13">
        <v>100</v>
      </c>
      <c r="E45" t="s">
        <v>13</v>
      </c>
    </row>
    <row r="47" spans="1:11" ht="12" x14ac:dyDescent="0.2">
      <c r="B47" s="4" t="s">
        <v>31</v>
      </c>
      <c r="C47" s="39" t="s">
        <v>31</v>
      </c>
      <c r="D47" s="23" t="s">
        <v>2</v>
      </c>
      <c r="E47" t="s">
        <v>123</v>
      </c>
    </row>
    <row r="49" spans="1:10" ht="12" x14ac:dyDescent="0.2">
      <c r="B49" s="4" t="s">
        <v>32</v>
      </c>
      <c r="C49" s="40" t="s">
        <v>32</v>
      </c>
      <c r="E49" t="s">
        <v>86</v>
      </c>
    </row>
    <row r="51" spans="1:10" ht="12" x14ac:dyDescent="0.2">
      <c r="B51" s="4" t="s">
        <v>5</v>
      </c>
      <c r="C51" s="14">
        <v>100</v>
      </c>
      <c r="E51" t="s">
        <v>6</v>
      </c>
    </row>
    <row r="52" spans="1:10" ht="12" x14ac:dyDescent="0.2">
      <c r="B52" s="4"/>
    </row>
    <row r="53" spans="1:10" ht="12" x14ac:dyDescent="0.2">
      <c r="B53" s="4" t="s">
        <v>73</v>
      </c>
      <c r="C53" s="50">
        <v>100</v>
      </c>
      <c r="E53" t="s">
        <v>74</v>
      </c>
    </row>
    <row r="55" spans="1:10" ht="17.399999999999999" x14ac:dyDescent="0.2">
      <c r="A55" s="7" t="s">
        <v>42</v>
      </c>
    </row>
    <row r="56" spans="1:10" ht="12" x14ac:dyDescent="0.2">
      <c r="A56" s="69" t="s">
        <v>48</v>
      </c>
      <c r="B56" s="43"/>
      <c r="C56" s="43"/>
      <c r="D56" s="43"/>
      <c r="E56" s="43"/>
    </row>
    <row r="57" spans="1:10" x14ac:dyDescent="0.2">
      <c r="A57" s="23" t="s">
        <v>75</v>
      </c>
    </row>
    <row r="58" spans="1:10" x14ac:dyDescent="0.2">
      <c r="A58" s="23" t="s">
        <v>77</v>
      </c>
    </row>
    <row r="60" spans="1:10" ht="24" x14ac:dyDescent="0.2">
      <c r="B60" s="1"/>
      <c r="C60" s="1" t="s">
        <v>8</v>
      </c>
      <c r="D60" s="1" t="s">
        <v>16</v>
      </c>
      <c r="E60" s="1" t="s">
        <v>10</v>
      </c>
      <c r="F60" s="1" t="s">
        <v>11</v>
      </c>
      <c r="G60" s="1" t="s">
        <v>9</v>
      </c>
      <c r="H60" s="1" t="s">
        <v>17</v>
      </c>
      <c r="I60" s="1" t="s">
        <v>14</v>
      </c>
      <c r="J60" s="1" t="s">
        <v>15</v>
      </c>
    </row>
    <row r="61" spans="1:10" ht="12" x14ac:dyDescent="0.2">
      <c r="B61" s="4" t="s">
        <v>55</v>
      </c>
      <c r="C61" s="2">
        <v>1234.56</v>
      </c>
      <c r="D61" s="15">
        <v>123.45</v>
      </c>
      <c r="E61" s="47">
        <v>0.1234</v>
      </c>
      <c r="F61" s="48">
        <v>0.1234</v>
      </c>
      <c r="G61" s="16">
        <v>1234.56</v>
      </c>
      <c r="H61" s="17">
        <v>123.45</v>
      </c>
      <c r="I61" s="45">
        <v>1234.56</v>
      </c>
      <c r="J61" s="46">
        <v>0.1234</v>
      </c>
    </row>
    <row r="62" spans="1:10" ht="12" x14ac:dyDescent="0.2">
      <c r="B62" s="4" t="s">
        <v>56</v>
      </c>
      <c r="C62" s="2">
        <v>-1234.56</v>
      </c>
      <c r="D62" s="15">
        <v>-123.45</v>
      </c>
      <c r="E62" s="47">
        <v>-0.1234</v>
      </c>
      <c r="F62" s="48">
        <v>-0.1234</v>
      </c>
      <c r="G62" s="16">
        <v>-1234.56</v>
      </c>
      <c r="H62" s="17">
        <v>-123.45</v>
      </c>
      <c r="I62" s="45">
        <v>-1234.56</v>
      </c>
      <c r="J62" s="46">
        <v>-0.1234</v>
      </c>
    </row>
    <row r="63" spans="1:10" ht="12" x14ac:dyDescent="0.2">
      <c r="B63" s="4" t="s">
        <v>57</v>
      </c>
      <c r="C63" s="2">
        <v>0</v>
      </c>
      <c r="D63" s="15">
        <v>0</v>
      </c>
      <c r="E63" s="75">
        <v>0</v>
      </c>
      <c r="F63" s="76">
        <v>0</v>
      </c>
      <c r="G63" s="16">
        <v>0</v>
      </c>
      <c r="H63" s="17">
        <v>0</v>
      </c>
      <c r="I63" s="45">
        <v>0</v>
      </c>
      <c r="J63" s="46">
        <v>0</v>
      </c>
    </row>
    <row r="64" spans="1:10" ht="12.6" thickBot="1" x14ac:dyDescent="0.25">
      <c r="B64" s="4" t="s">
        <v>7</v>
      </c>
      <c r="C64" s="2" t="s">
        <v>7</v>
      </c>
      <c r="D64" s="15" t="s">
        <v>7</v>
      </c>
      <c r="E64" s="47" t="s">
        <v>7</v>
      </c>
      <c r="F64" s="48" t="s">
        <v>7</v>
      </c>
      <c r="G64" s="16" t="s">
        <v>7</v>
      </c>
      <c r="H64" s="17" t="s">
        <v>7</v>
      </c>
      <c r="I64" s="45" t="s">
        <v>7</v>
      </c>
      <c r="J64" s="46" t="s">
        <v>7</v>
      </c>
    </row>
    <row r="65" spans="2:10" x14ac:dyDescent="0.2">
      <c r="B65" s="38"/>
      <c r="C65" s="38"/>
      <c r="D65" s="38"/>
      <c r="E65" s="38"/>
      <c r="F65" s="38"/>
      <c r="G65" s="38"/>
      <c r="H65" s="38"/>
      <c r="I65" s="38"/>
      <c r="J65" s="38"/>
    </row>
    <row r="66" spans="2:10" ht="24" x14ac:dyDescent="0.2">
      <c r="B66" s="1"/>
      <c r="C66" s="1" t="s">
        <v>60</v>
      </c>
      <c r="D66" s="1" t="s">
        <v>61</v>
      </c>
      <c r="E66" s="1" t="s">
        <v>58</v>
      </c>
      <c r="F66" s="1" t="s">
        <v>59</v>
      </c>
    </row>
    <row r="67" spans="2:10" ht="12" x14ac:dyDescent="0.2">
      <c r="B67" s="4" t="s">
        <v>55</v>
      </c>
      <c r="C67" s="20">
        <v>1234.56</v>
      </c>
      <c r="D67" s="21">
        <v>123.45</v>
      </c>
      <c r="E67" s="18">
        <v>1234.56</v>
      </c>
      <c r="F67" s="19">
        <v>123.45</v>
      </c>
    </row>
    <row r="68" spans="2:10" ht="12" x14ac:dyDescent="0.2">
      <c r="B68" s="4" t="s">
        <v>56</v>
      </c>
      <c r="C68" s="20">
        <v>-1234.56</v>
      </c>
      <c r="D68" s="21">
        <v>-123.45</v>
      </c>
      <c r="E68" s="18">
        <v>-1234.56</v>
      </c>
      <c r="F68" s="19">
        <v>-123.45</v>
      </c>
    </row>
    <row r="69" spans="2:10" ht="12" x14ac:dyDescent="0.2">
      <c r="B69" s="4" t="s">
        <v>57</v>
      </c>
      <c r="C69" s="20">
        <v>0</v>
      </c>
      <c r="D69" s="21">
        <v>0</v>
      </c>
      <c r="E69" s="18">
        <v>0</v>
      </c>
      <c r="F69" s="19">
        <v>0</v>
      </c>
    </row>
    <row r="70" spans="2:10" ht="12.6" thickBot="1" x14ac:dyDescent="0.25">
      <c r="B70" s="4" t="s">
        <v>7</v>
      </c>
      <c r="C70" s="20" t="s">
        <v>7</v>
      </c>
      <c r="D70" s="21" t="s">
        <v>7</v>
      </c>
      <c r="E70" s="18" t="s">
        <v>7</v>
      </c>
      <c r="F70" s="19" t="s">
        <v>7</v>
      </c>
    </row>
    <row r="71" spans="2:10" x14ac:dyDescent="0.2">
      <c r="B71" s="38"/>
      <c r="C71" s="38"/>
      <c r="D71" s="38"/>
      <c r="E71" s="38"/>
      <c r="F71" s="38"/>
    </row>
    <row r="72" spans="2:10" ht="24" x14ac:dyDescent="0.2">
      <c r="B72" s="1"/>
      <c r="C72" s="1" t="s">
        <v>62</v>
      </c>
      <c r="D72" s="1" t="s">
        <v>63</v>
      </c>
      <c r="E72" s="1" t="s">
        <v>19</v>
      </c>
      <c r="F72" s="1" t="s">
        <v>18</v>
      </c>
    </row>
    <row r="73" spans="2:10" ht="12" x14ac:dyDescent="0.2">
      <c r="B73" s="4" t="s">
        <v>55</v>
      </c>
      <c r="C73" s="26">
        <v>1234.56</v>
      </c>
      <c r="D73" s="27">
        <v>123.45</v>
      </c>
      <c r="E73" s="24">
        <v>1234.56</v>
      </c>
      <c r="F73" s="25">
        <v>123.45</v>
      </c>
    </row>
    <row r="74" spans="2:10" ht="12" x14ac:dyDescent="0.2">
      <c r="B74" s="4" t="s">
        <v>56</v>
      </c>
      <c r="C74" s="26">
        <v>-1234.56</v>
      </c>
      <c r="D74" s="27">
        <v>-123.45</v>
      </c>
      <c r="E74" s="24">
        <v>-1234.56</v>
      </c>
      <c r="F74" s="25">
        <v>-123.45</v>
      </c>
    </row>
    <row r="75" spans="2:10" ht="12" x14ac:dyDescent="0.2">
      <c r="B75" s="4" t="s">
        <v>57</v>
      </c>
      <c r="C75" s="26">
        <v>0</v>
      </c>
      <c r="D75" s="27">
        <v>0</v>
      </c>
      <c r="E75" s="24">
        <v>0</v>
      </c>
      <c r="F75" s="25">
        <v>0</v>
      </c>
    </row>
    <row r="76" spans="2:10" ht="12.6" thickBot="1" x14ac:dyDescent="0.25">
      <c r="B76" s="4" t="s">
        <v>7</v>
      </c>
      <c r="C76" s="26" t="s">
        <v>7</v>
      </c>
      <c r="D76" s="27" t="s">
        <v>7</v>
      </c>
      <c r="E76" s="24" t="s">
        <v>7</v>
      </c>
      <c r="F76" s="25" t="s">
        <v>7</v>
      </c>
    </row>
    <row r="77" spans="2:10" x14ac:dyDescent="0.2">
      <c r="B77" s="38"/>
      <c r="C77" s="38"/>
      <c r="D77" s="38"/>
      <c r="E77" s="38"/>
      <c r="F77" s="38"/>
    </row>
    <row r="78" spans="2:10" ht="24" x14ac:dyDescent="0.2">
      <c r="B78" s="1"/>
      <c r="C78" s="1" t="s">
        <v>64</v>
      </c>
      <c r="D78" s="1" t="s">
        <v>65</v>
      </c>
      <c r="E78" s="1" t="s">
        <v>21</v>
      </c>
      <c r="F78" s="1" t="s">
        <v>20</v>
      </c>
    </row>
    <row r="79" spans="2:10" ht="12" x14ac:dyDescent="0.2">
      <c r="B79" s="4" t="s">
        <v>55</v>
      </c>
      <c r="C79" s="30">
        <v>1234.56</v>
      </c>
      <c r="D79" s="31">
        <v>123.45</v>
      </c>
      <c r="E79" s="28">
        <v>1234.56</v>
      </c>
      <c r="F79" s="29">
        <v>123.45</v>
      </c>
    </row>
    <row r="80" spans="2:10" ht="12" x14ac:dyDescent="0.2">
      <c r="B80" s="4" t="s">
        <v>56</v>
      </c>
      <c r="C80" s="30">
        <v>-1234.56</v>
      </c>
      <c r="D80" s="31">
        <v>-123.45</v>
      </c>
      <c r="E80" s="28">
        <v>-1234.56</v>
      </c>
      <c r="F80" s="29">
        <v>-123.45</v>
      </c>
    </row>
    <row r="81" spans="1:6" ht="12" x14ac:dyDescent="0.2">
      <c r="B81" s="4" t="s">
        <v>57</v>
      </c>
      <c r="C81" s="30">
        <v>0</v>
      </c>
      <c r="D81" s="31">
        <v>0</v>
      </c>
      <c r="E81" s="28">
        <v>0</v>
      </c>
      <c r="F81" s="29">
        <v>0</v>
      </c>
    </row>
    <row r="82" spans="1:6" ht="12.6" thickBot="1" x14ac:dyDescent="0.25">
      <c r="B82" s="4" t="s">
        <v>7</v>
      </c>
      <c r="C82" s="30" t="s">
        <v>7</v>
      </c>
      <c r="D82" s="31" t="s">
        <v>7</v>
      </c>
      <c r="E82" s="28" t="s">
        <v>7</v>
      </c>
      <c r="F82" s="29" t="s">
        <v>7</v>
      </c>
    </row>
    <row r="83" spans="1:6" x14ac:dyDescent="0.2">
      <c r="B83" s="38"/>
      <c r="C83" s="38"/>
      <c r="D83" s="38"/>
      <c r="E83" s="38"/>
      <c r="F83" s="38"/>
    </row>
    <row r="84" spans="1:6" ht="24" x14ac:dyDescent="0.2">
      <c r="B84" s="1"/>
      <c r="C84" s="1" t="s">
        <v>12</v>
      </c>
      <c r="D84" s="1" t="s">
        <v>66</v>
      </c>
      <c r="E84" s="1" t="s">
        <v>67</v>
      </c>
    </row>
    <row r="85" spans="1:6" ht="12.6" thickBot="1" x14ac:dyDescent="0.25">
      <c r="B85" s="4" t="s">
        <v>12</v>
      </c>
      <c r="C85" s="22">
        <v>37591</v>
      </c>
      <c r="D85" s="64">
        <v>37591</v>
      </c>
      <c r="E85" s="32">
        <v>37591</v>
      </c>
    </row>
    <row r="86" spans="1:6" x14ac:dyDescent="0.2">
      <c r="B86" s="38"/>
      <c r="C86" s="38"/>
      <c r="D86" s="38"/>
      <c r="E86" s="38"/>
    </row>
    <row r="87" spans="1:6" ht="17.399999999999999" x14ac:dyDescent="0.2">
      <c r="A87" s="7" t="s">
        <v>81</v>
      </c>
    </row>
    <row r="88" spans="1:6" ht="12" x14ac:dyDescent="0.2">
      <c r="A88" s="69" t="s">
        <v>80</v>
      </c>
      <c r="B88" s="43"/>
      <c r="C88" s="43"/>
      <c r="D88" s="43"/>
      <c r="E88" s="43"/>
    </row>
    <row r="89" spans="1:6" x14ac:dyDescent="0.2">
      <c r="A89" s="23" t="s">
        <v>41</v>
      </c>
    </row>
    <row r="90" spans="1:6" s="41" customFormat="1" x14ac:dyDescent="0.2">
      <c r="A90" s="23"/>
    </row>
    <row r="91" spans="1:6" s="41" customFormat="1" ht="28.2" x14ac:dyDescent="0.2">
      <c r="A91" s="23"/>
      <c r="B91" s="71" t="s">
        <v>124</v>
      </c>
      <c r="C91" s="71" t="s">
        <v>121</v>
      </c>
      <c r="D91" s="71"/>
      <c r="E91" s="41" t="s">
        <v>125</v>
      </c>
    </row>
    <row r="92" spans="1:6" s="41" customFormat="1" x14ac:dyDescent="0.2">
      <c r="A92" s="23"/>
    </row>
    <row r="93" spans="1:6" s="41" customFormat="1" ht="22.8" x14ac:dyDescent="0.2">
      <c r="A93" s="23"/>
      <c r="B93" s="72" t="s">
        <v>33</v>
      </c>
      <c r="C93" s="72" t="s">
        <v>44</v>
      </c>
      <c r="D93" s="72"/>
      <c r="E93" s="41" t="s">
        <v>37</v>
      </c>
    </row>
    <row r="95" spans="1:6" ht="17.399999999999999" x14ac:dyDescent="0.2">
      <c r="B95" s="7" t="s">
        <v>34</v>
      </c>
      <c r="C95" s="7" t="s">
        <v>44</v>
      </c>
      <c r="E95" t="s">
        <v>38</v>
      </c>
    </row>
    <row r="97" spans="1:6" ht="15.6" x14ac:dyDescent="0.2">
      <c r="B97" s="34" t="s">
        <v>35</v>
      </c>
      <c r="C97" s="34" t="s">
        <v>44</v>
      </c>
      <c r="E97" t="s">
        <v>39</v>
      </c>
    </row>
    <row r="99" spans="1:6" ht="12" x14ac:dyDescent="0.2">
      <c r="B99" s="33" t="s">
        <v>36</v>
      </c>
      <c r="C99" s="33" t="s">
        <v>44</v>
      </c>
      <c r="E99" t="s">
        <v>40</v>
      </c>
    </row>
    <row r="101" spans="1:6" ht="17.399999999999999" x14ac:dyDescent="0.2">
      <c r="A101" s="7" t="s">
        <v>43</v>
      </c>
    </row>
    <row r="102" spans="1:6" ht="12" x14ac:dyDescent="0.2">
      <c r="A102" s="69" t="s">
        <v>49</v>
      </c>
      <c r="B102" s="43"/>
      <c r="C102" s="43"/>
      <c r="D102" s="43"/>
      <c r="E102" s="43"/>
    </row>
    <row r="103" spans="1:6" x14ac:dyDescent="0.2">
      <c r="A103" s="23" t="s">
        <v>46</v>
      </c>
    </row>
    <row r="105" spans="1:6" ht="15.6" x14ac:dyDescent="0.2">
      <c r="A105" s="34" t="s">
        <v>92</v>
      </c>
    </row>
    <row r="106" spans="1:6" ht="12" x14ac:dyDescent="0.2">
      <c r="B106" s="59" t="s">
        <v>104</v>
      </c>
      <c r="C106" s="1" t="s">
        <v>100</v>
      </c>
      <c r="D106" s="1" t="s">
        <v>100</v>
      </c>
      <c r="E106" s="1" t="s">
        <v>100</v>
      </c>
      <c r="F106" s="1" t="s">
        <v>100</v>
      </c>
    </row>
    <row r="107" spans="1:6" ht="12" x14ac:dyDescent="0.2">
      <c r="B107" s="4" t="s">
        <v>26</v>
      </c>
    </row>
    <row r="108" spans="1:6" ht="12" x14ac:dyDescent="0.2">
      <c r="B108" s="4" t="s">
        <v>26</v>
      </c>
    </row>
    <row r="109" spans="1:6" ht="12.6" thickBot="1" x14ac:dyDescent="0.25">
      <c r="B109" s="4" t="s">
        <v>26</v>
      </c>
    </row>
    <row r="110" spans="1:6" x14ac:dyDescent="0.2">
      <c r="B110" s="38" t="s">
        <v>30</v>
      </c>
      <c r="C110" s="38"/>
      <c r="D110" s="38"/>
      <c r="E110" s="38"/>
      <c r="F110" s="38"/>
    </row>
    <row r="112" spans="1:6" ht="15.6" x14ac:dyDescent="0.2">
      <c r="A112" s="34" t="s">
        <v>93</v>
      </c>
    </row>
    <row r="113" spans="1:9" ht="12" x14ac:dyDescent="0.2">
      <c r="B113" s="59"/>
      <c r="C113" s="63"/>
      <c r="D113" s="63" t="s">
        <v>113</v>
      </c>
      <c r="E113" s="63"/>
      <c r="F113" s="63" t="s">
        <v>113</v>
      </c>
      <c r="G113" s="63"/>
    </row>
    <row r="114" spans="1:9" ht="22.8" x14ac:dyDescent="0.2">
      <c r="B114" s="59" t="s">
        <v>104</v>
      </c>
      <c r="C114" s="60" t="s">
        <v>105</v>
      </c>
      <c r="D114" s="1" t="s">
        <v>100</v>
      </c>
      <c r="E114" s="1" t="s">
        <v>100</v>
      </c>
      <c r="F114" s="1" t="s">
        <v>100</v>
      </c>
      <c r="G114" s="1" t="s">
        <v>100</v>
      </c>
    </row>
    <row r="115" spans="1:9" ht="12" x14ac:dyDescent="0.2">
      <c r="B115" s="4" t="s">
        <v>26</v>
      </c>
      <c r="D115" s="51" t="s">
        <v>76</v>
      </c>
      <c r="E115" s="51"/>
      <c r="F115" s="37" t="s">
        <v>45</v>
      </c>
      <c r="G115" s="37"/>
    </row>
    <row r="116" spans="1:9" ht="12" thickBot="1" x14ac:dyDescent="0.25">
      <c r="B116" s="3" t="s">
        <v>27</v>
      </c>
      <c r="D116" s="51"/>
      <c r="E116" s="51"/>
      <c r="F116" s="37"/>
      <c r="G116" s="37"/>
    </row>
    <row r="117" spans="1:9" ht="12.6" thickBot="1" x14ac:dyDescent="0.25">
      <c r="B117" s="6" t="s">
        <v>29</v>
      </c>
      <c r="C117" s="35"/>
      <c r="D117" s="35"/>
      <c r="E117" s="35"/>
      <c r="F117" s="70"/>
      <c r="G117" s="70"/>
    </row>
    <row r="118" spans="1:9" ht="12" x14ac:dyDescent="0.2">
      <c r="B118" s="5" t="s">
        <v>28</v>
      </c>
      <c r="C118" s="36"/>
      <c r="D118" s="36"/>
      <c r="E118" s="36"/>
      <c r="F118" s="36"/>
      <c r="G118" s="36"/>
    </row>
    <row r="121" spans="1:9" x14ac:dyDescent="0.2">
      <c r="A121" s="41" t="s">
        <v>47</v>
      </c>
    </row>
    <row r="122" spans="1:9" x14ac:dyDescent="0.2">
      <c r="A122" s="23" t="s">
        <v>98</v>
      </c>
    </row>
    <row r="124" spans="1:9" ht="15.6" x14ac:dyDescent="0.2">
      <c r="A124" s="34" t="s">
        <v>90</v>
      </c>
    </row>
    <row r="125" spans="1:9" ht="12" x14ac:dyDescent="0.2">
      <c r="B125" s="59" t="s">
        <v>107</v>
      </c>
      <c r="C125" s="60" t="s">
        <v>108</v>
      </c>
      <c r="D125" s="60" t="s">
        <v>0</v>
      </c>
      <c r="E125" s="1">
        <v>2000</v>
      </c>
      <c r="F125" s="1">
        <v>2001</v>
      </c>
      <c r="G125" s="1">
        <v>2002</v>
      </c>
      <c r="H125" s="1">
        <v>2003</v>
      </c>
      <c r="I125" s="42" t="s">
        <v>106</v>
      </c>
    </row>
    <row r="126" spans="1:9" ht="12" x14ac:dyDescent="0.2">
      <c r="B126" s="4" t="s">
        <v>89</v>
      </c>
      <c r="C126" t="s">
        <v>109</v>
      </c>
      <c r="D126" s="23" t="s">
        <v>112</v>
      </c>
      <c r="E126" s="77">
        <v>1000000</v>
      </c>
      <c r="F126" s="9">
        <f t="shared" ref="F126:G128" si="0">E126+($H126-$E126)/3</f>
        <v>1000000</v>
      </c>
      <c r="G126" s="9">
        <f t="shared" si="0"/>
        <v>1000000</v>
      </c>
      <c r="H126" s="8">
        <v>1000000</v>
      </c>
    </row>
    <row r="127" spans="1:9" ht="12" x14ac:dyDescent="0.2">
      <c r="B127" s="4" t="s">
        <v>87</v>
      </c>
      <c r="C127" t="s">
        <v>109</v>
      </c>
      <c r="D127" s="23" t="s">
        <v>112</v>
      </c>
      <c r="E127" s="10">
        <v>100000</v>
      </c>
      <c r="F127" s="9">
        <f t="shared" si="0"/>
        <v>133333.33333333334</v>
      </c>
      <c r="G127" s="9">
        <f t="shared" si="0"/>
        <v>166666.66666666669</v>
      </c>
      <c r="H127" s="8">
        <v>200000</v>
      </c>
    </row>
    <row r="128" spans="1:9" ht="12" x14ac:dyDescent="0.2">
      <c r="B128" s="4" t="s">
        <v>88</v>
      </c>
      <c r="C128" t="s">
        <v>109</v>
      </c>
      <c r="D128" s="23" t="s">
        <v>112</v>
      </c>
      <c r="E128" s="52">
        <v>50000</v>
      </c>
      <c r="F128" s="9">
        <f t="shared" si="0"/>
        <v>100000</v>
      </c>
      <c r="G128" s="9">
        <f t="shared" si="0"/>
        <v>150000</v>
      </c>
      <c r="H128" s="8">
        <v>200000</v>
      </c>
    </row>
    <row r="129" spans="1:9" ht="12" x14ac:dyDescent="0.2">
      <c r="B129" s="5" t="s">
        <v>91</v>
      </c>
      <c r="C129" s="36" t="s">
        <v>109</v>
      </c>
      <c r="D129" s="36"/>
      <c r="E129" s="55">
        <f>SUM(E126:E128)</f>
        <v>1150000</v>
      </c>
      <c r="F129" s="55">
        <f>SUM(F126:F128)</f>
        <v>1233333.3333333333</v>
      </c>
      <c r="G129" s="55">
        <f>SUM(G126:G128)</f>
        <v>1316666.6666666667</v>
      </c>
      <c r="H129" s="55">
        <f>SUM(H126:H128)</f>
        <v>1400000</v>
      </c>
    </row>
    <row r="130" spans="1:9" x14ac:dyDescent="0.2">
      <c r="B130" s="54"/>
      <c r="D130" s="54"/>
      <c r="E130" s="54"/>
      <c r="F130" s="54"/>
      <c r="G130" s="54"/>
    </row>
    <row r="131" spans="1:9" ht="15.6" x14ac:dyDescent="0.2">
      <c r="A131" s="34" t="s">
        <v>90</v>
      </c>
    </row>
    <row r="132" spans="1:9" ht="12" x14ac:dyDescent="0.2">
      <c r="B132" s="59" t="s">
        <v>107</v>
      </c>
      <c r="C132" s="60" t="s">
        <v>108</v>
      </c>
      <c r="D132" s="60" t="s">
        <v>0</v>
      </c>
      <c r="E132" s="1">
        <v>2000</v>
      </c>
      <c r="F132" s="1">
        <v>2001</v>
      </c>
      <c r="G132" s="1">
        <v>2002</v>
      </c>
      <c r="H132" s="1">
        <v>2003</v>
      </c>
    </row>
    <row r="133" spans="1:9" ht="12" x14ac:dyDescent="0.2">
      <c r="B133" s="4" t="s">
        <v>89</v>
      </c>
      <c r="C133" t="s">
        <v>109</v>
      </c>
      <c r="D133" s="23" t="s">
        <v>110</v>
      </c>
      <c r="E133" s="11">
        <f t="array" ref="E133:H135">$E$126:$H$128</f>
        <v>1000000</v>
      </c>
      <c r="F133" s="11">
        <v>1000000</v>
      </c>
      <c r="G133" s="11">
        <v>1000000</v>
      </c>
      <c r="H133" s="11">
        <v>1000000</v>
      </c>
    </row>
    <row r="134" spans="1:9" ht="12" x14ac:dyDescent="0.2">
      <c r="B134" s="4" t="s">
        <v>87</v>
      </c>
      <c r="C134" t="s">
        <v>109</v>
      </c>
      <c r="D134" s="23" t="s">
        <v>110</v>
      </c>
      <c r="E134" s="11">
        <v>100000</v>
      </c>
      <c r="F134" s="11">
        <v>133333.33333333334</v>
      </c>
      <c r="G134" s="11">
        <v>166666.66666666669</v>
      </c>
      <c r="H134" s="11">
        <v>200000</v>
      </c>
    </row>
    <row r="135" spans="1:9" ht="12" x14ac:dyDescent="0.2">
      <c r="B135" s="4" t="s">
        <v>88</v>
      </c>
      <c r="C135" t="s">
        <v>109</v>
      </c>
      <c r="D135" s="23" t="s">
        <v>111</v>
      </c>
      <c r="E135" s="61">
        <v>50000</v>
      </c>
      <c r="F135" s="61">
        <v>100000</v>
      </c>
      <c r="G135" s="61">
        <v>150000</v>
      </c>
      <c r="H135" s="61">
        <v>200000</v>
      </c>
    </row>
    <row r="136" spans="1:9" ht="12" x14ac:dyDescent="0.2">
      <c r="B136" s="5" t="s">
        <v>91</v>
      </c>
      <c r="C136" s="36" t="s">
        <v>109</v>
      </c>
      <c r="D136" s="36"/>
      <c r="E136" s="55">
        <f>SUM(E133:E135)</f>
        <v>1150000</v>
      </c>
      <c r="F136" s="55">
        <f>SUM(F133:F135)</f>
        <v>1233333.3333333333</v>
      </c>
      <c r="G136" s="55">
        <f>SUM(G133:G135)</f>
        <v>1316666.6666666667</v>
      </c>
      <c r="H136" s="55">
        <f>SUM(H133:H135)</f>
        <v>1400000</v>
      </c>
    </row>
    <row r="137" spans="1:9" x14ac:dyDescent="0.2">
      <c r="B137" s="54"/>
      <c r="C137" s="54"/>
      <c r="D137" s="54"/>
      <c r="E137" s="54"/>
      <c r="F137" s="54"/>
      <c r="G137" s="54"/>
    </row>
    <row r="139" spans="1:9" ht="15.6" x14ac:dyDescent="0.2">
      <c r="A139" s="34" t="s">
        <v>95</v>
      </c>
    </row>
    <row r="140" spans="1:9" ht="12" x14ac:dyDescent="0.2">
      <c r="B140" s="59" t="s">
        <v>107</v>
      </c>
      <c r="C140" s="60" t="s">
        <v>108</v>
      </c>
      <c r="D140" s="60" t="s">
        <v>0</v>
      </c>
      <c r="E140" s="1">
        <v>2000</v>
      </c>
      <c r="F140" s="1">
        <v>2001</v>
      </c>
      <c r="G140" s="1">
        <v>2002</v>
      </c>
      <c r="H140" s="1">
        <v>2003</v>
      </c>
    </row>
    <row r="141" spans="1:9" ht="12" x14ac:dyDescent="0.2">
      <c r="B141" s="4" t="s">
        <v>89</v>
      </c>
      <c r="C141" t="s">
        <v>109</v>
      </c>
      <c r="D141" s="23"/>
      <c r="E141" s="2"/>
      <c r="F141" s="12">
        <f t="shared" ref="F141:H143" si="1">(F133+E133)/2</f>
        <v>1000000</v>
      </c>
      <c r="G141" s="12">
        <f t="shared" si="1"/>
        <v>1000000</v>
      </c>
      <c r="H141" s="12">
        <f t="shared" si="1"/>
        <v>1000000</v>
      </c>
    </row>
    <row r="142" spans="1:9" ht="12" x14ac:dyDescent="0.2">
      <c r="B142" s="4" t="s">
        <v>87</v>
      </c>
      <c r="C142" t="s">
        <v>109</v>
      </c>
      <c r="D142" s="23"/>
      <c r="E142" s="2"/>
      <c r="F142" s="12">
        <f t="shared" si="1"/>
        <v>116666.66666666667</v>
      </c>
      <c r="G142" s="12">
        <f t="shared" si="1"/>
        <v>150000</v>
      </c>
      <c r="H142" s="12">
        <f t="shared" si="1"/>
        <v>183333.33333333334</v>
      </c>
    </row>
    <row r="143" spans="1:9" ht="12" x14ac:dyDescent="0.2">
      <c r="B143" s="4" t="s">
        <v>88</v>
      </c>
      <c r="C143" t="s">
        <v>109</v>
      </c>
      <c r="D143" s="23"/>
      <c r="E143" s="2"/>
      <c r="F143" s="12">
        <f t="shared" si="1"/>
        <v>75000</v>
      </c>
      <c r="G143" s="12">
        <f t="shared" si="1"/>
        <v>125000</v>
      </c>
      <c r="H143" s="12">
        <f t="shared" si="1"/>
        <v>175000</v>
      </c>
    </row>
    <row r="144" spans="1:9" ht="12" x14ac:dyDescent="0.2">
      <c r="B144" s="57" t="s">
        <v>91</v>
      </c>
      <c r="C144" s="65" t="s">
        <v>109</v>
      </c>
      <c r="D144" s="65"/>
      <c r="E144" s="56"/>
      <c r="F144" s="56">
        <f>SUM(F141:F143)</f>
        <v>1191666.6666666667</v>
      </c>
      <c r="G144" s="56">
        <f>SUM(G141:G143)</f>
        <v>1275000</v>
      </c>
      <c r="H144" s="56">
        <f>SUM(H141:H143)</f>
        <v>1358333.3333333333</v>
      </c>
      <c r="I144" s="42" t="s">
        <v>97</v>
      </c>
    </row>
    <row r="145" spans="2:6" x14ac:dyDescent="0.2">
      <c r="B145" s="54"/>
      <c r="C145" s="54"/>
      <c r="D145" s="54"/>
      <c r="E145" s="54"/>
      <c r="F145" s="54"/>
    </row>
  </sheetData>
  <phoneticPr fontId="0" type="noConversion"/>
  <conditionalFormatting sqref="C43">
    <cfRule type="cellIs" dxfId="0" priority="1" stopIfTrue="1" operator="notEqual">
      <formula>0</formula>
    </cfRule>
  </conditionalFormatting>
  <dataValidations disablePrompts="1" count="2">
    <dataValidation type="list" showInputMessage="1" showErrorMessage="1" errorTitle="Input Parameter" error="Please select value from list" promptTitle="Input Parameter" prompt="Select from list" sqref="C16">
      <formula1>$C$17:$C$19</formula1>
    </dataValidation>
    <dataValidation type="decimal" showInputMessage="1" showErrorMessage="1" errorTitle="Input Parameter" error="Value must lie between 100 and 300" promptTitle="Input Parameter" prompt="Value must lie between 100 and 300" sqref="C12">
      <formula1>C13</formula1>
      <formula2>C14</formula2>
    </dataValidation>
  </dataValidations>
  <pageMargins left="0.74803149606299213" right="0.74803149606299213" top="0.51181102362204722" bottom="0.51181102362204722" header="0.51181102362204722" footer="0.35433070866141736"/>
  <pageSetup paperSize="9" fitToHeight="0" orientation="landscape" horizontalDpi="4294967292" verticalDpi="4294967292" r:id="rId1"/>
  <headerFooter alignWithMargins="0">
    <oddFooter xml:space="preserve">&amp;L&amp;F : &amp;A&amp;CPrinted at &amp;T on &amp;D&amp;RCommercial in confidence © Analysys Mason </oddFooter>
  </headerFooter>
  <rowBreaks count="3" manualBreakCount="3">
    <brk id="54" max="16383" man="1"/>
    <brk id="86" max="16383" man="1"/>
    <brk id="12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autoPageBreaks="0"/>
  </sheetPr>
  <dimension ref="B1:K88"/>
  <sheetViews>
    <sheetView showGridLines="0" defaultGridColor="0" colorId="22" zoomScaleNormal="100" workbookViewId="0">
      <pane ySplit="1" topLeftCell="A2" activePane="bottomLeft" state="frozen"/>
      <selection pane="bottomLeft" activeCell="J71" sqref="J71"/>
    </sheetView>
  </sheetViews>
  <sheetFormatPr defaultColWidth="12.75" defaultRowHeight="11.4" outlineLevelRow="1" x14ac:dyDescent="0.2"/>
  <cols>
    <col min="1" max="1" width="6.75" style="41" customWidth="1"/>
    <col min="2" max="2" width="12.75" style="41"/>
    <col min="3" max="3" width="43.875" style="41" customWidth="1"/>
    <col min="4" max="7" width="17.5" style="41" customWidth="1"/>
    <col min="8" max="10" width="17" style="41" customWidth="1"/>
    <col min="11" max="16384" width="12.75" style="41"/>
  </cols>
  <sheetData>
    <row r="1" spans="3:8" s="79" customFormat="1" ht="33.75" customHeight="1" x14ac:dyDescent="0.2">
      <c r="C1" s="80" t="s">
        <v>216</v>
      </c>
    </row>
    <row r="3" spans="3:8" x14ac:dyDescent="0.2">
      <c r="C3" s="42" t="s">
        <v>147</v>
      </c>
      <c r="D3" s="81">
        <v>0.21</v>
      </c>
    </row>
    <row r="5" spans="3:8" ht="12" x14ac:dyDescent="0.2">
      <c r="C5" s="90"/>
      <c r="D5" s="1" t="s">
        <v>282</v>
      </c>
      <c r="E5" s="1" t="s">
        <v>281</v>
      </c>
      <c r="F5" s="1" t="s">
        <v>218</v>
      </c>
      <c r="G5" s="1" t="s">
        <v>283</v>
      </c>
      <c r="H5" s="124" t="s">
        <v>289</v>
      </c>
    </row>
    <row r="6" spans="3:8" ht="12" x14ac:dyDescent="0.2">
      <c r="C6" s="91" t="s">
        <v>133</v>
      </c>
      <c r="D6" s="85"/>
      <c r="E6" s="88"/>
      <c r="F6" s="84"/>
      <c r="G6" s="82">
        <v>0</v>
      </c>
    </row>
    <row r="7" spans="3:8" ht="12" x14ac:dyDescent="0.2">
      <c r="C7" s="103" t="s">
        <v>128</v>
      </c>
      <c r="D7" s="103"/>
      <c r="E7" s="103"/>
      <c r="F7" s="103"/>
      <c r="G7" s="103"/>
    </row>
    <row r="8" spans="3:8" ht="12" outlineLevel="1" x14ac:dyDescent="0.2">
      <c r="C8" s="91" t="s">
        <v>151</v>
      </c>
      <c r="D8" s="86">
        <v>12</v>
      </c>
      <c r="E8" s="88">
        <v>1</v>
      </c>
      <c r="F8" s="83">
        <f t="shared" ref="F8:F62" si="0">D8*E8</f>
        <v>12</v>
      </c>
      <c r="G8" s="83">
        <f t="shared" ref="G8:G62" si="1">F8/(1+VAT.rate)</f>
        <v>9.9173553719008272</v>
      </c>
      <c r="H8" s="123" t="s">
        <v>290</v>
      </c>
    </row>
    <row r="9" spans="3:8" ht="12" outlineLevel="1" x14ac:dyDescent="0.2">
      <c r="C9" s="91" t="s">
        <v>187</v>
      </c>
      <c r="D9" s="86">
        <v>4</v>
      </c>
      <c r="E9" s="88">
        <v>1</v>
      </c>
      <c r="F9" s="83">
        <f t="shared" si="0"/>
        <v>4</v>
      </c>
      <c r="G9" s="83">
        <f t="shared" si="1"/>
        <v>3.3057851239669422</v>
      </c>
    </row>
    <row r="10" spans="3:8" ht="12" outlineLevel="1" x14ac:dyDescent="0.2">
      <c r="C10" s="91" t="s">
        <v>177</v>
      </c>
      <c r="D10" s="85">
        <v>26.99</v>
      </c>
      <c r="E10" s="88">
        <v>1</v>
      </c>
      <c r="F10" s="83">
        <f t="shared" si="0"/>
        <v>26.99</v>
      </c>
      <c r="G10" s="83">
        <f t="shared" si="1"/>
        <v>22.305785123966942</v>
      </c>
    </row>
    <row r="11" spans="3:8" ht="12" outlineLevel="1" x14ac:dyDescent="0.2">
      <c r="C11" s="91" t="s">
        <v>178</v>
      </c>
      <c r="D11" s="85">
        <v>49.39</v>
      </c>
      <c r="E11" s="88">
        <v>1</v>
      </c>
      <c r="F11" s="83">
        <f t="shared" si="0"/>
        <v>49.39</v>
      </c>
      <c r="G11" s="83">
        <f t="shared" si="1"/>
        <v>40.81818181818182</v>
      </c>
    </row>
    <row r="12" spans="3:8" ht="12" outlineLevel="1" x14ac:dyDescent="0.2">
      <c r="C12" s="91" t="s">
        <v>179</v>
      </c>
      <c r="D12" s="85">
        <v>70.790000000000006</v>
      </c>
      <c r="E12" s="88">
        <v>1</v>
      </c>
      <c r="F12" s="83">
        <f t="shared" si="0"/>
        <v>70.790000000000006</v>
      </c>
      <c r="G12" s="83">
        <f t="shared" si="1"/>
        <v>58.504132231404967</v>
      </c>
    </row>
    <row r="13" spans="3:8" ht="12" outlineLevel="1" x14ac:dyDescent="0.2">
      <c r="C13" s="91" t="s">
        <v>204</v>
      </c>
      <c r="D13" s="82">
        <v>27.45</v>
      </c>
      <c r="E13" s="105">
        <v>0.25</v>
      </c>
      <c r="F13" s="83">
        <f t="shared" ref="F13" si="2">D13*E13</f>
        <v>6.8624999999999998</v>
      </c>
      <c r="G13" s="83">
        <f t="shared" ref="G13" si="3">F13/(1+VAT.rate)</f>
        <v>5.6714876033057848</v>
      </c>
      <c r="H13" s="123" t="s">
        <v>291</v>
      </c>
    </row>
    <row r="14" spans="3:8" ht="12" outlineLevel="1" x14ac:dyDescent="0.2">
      <c r="C14" s="91" t="s">
        <v>203</v>
      </c>
      <c r="D14" s="82">
        <v>27.45</v>
      </c>
      <c r="E14" s="105">
        <v>0.25</v>
      </c>
      <c r="F14" s="83">
        <f t="shared" ref="F14" si="4">D14*E14</f>
        <v>6.8624999999999998</v>
      </c>
      <c r="G14" s="83">
        <f t="shared" ref="G14" si="5">F14/(1+VAT.rate)</f>
        <v>5.6714876033057848</v>
      </c>
      <c r="H14" s="123" t="s">
        <v>291</v>
      </c>
    </row>
    <row r="15" spans="3:8" ht="12" outlineLevel="1" x14ac:dyDescent="0.2">
      <c r="C15" s="91" t="s">
        <v>169</v>
      </c>
      <c r="D15" s="82">
        <v>21.95</v>
      </c>
      <c r="E15" s="105">
        <v>0.25</v>
      </c>
      <c r="F15" s="83">
        <f t="shared" si="0"/>
        <v>5.4874999999999998</v>
      </c>
      <c r="G15" s="83">
        <f t="shared" si="1"/>
        <v>4.535123966942149</v>
      </c>
      <c r="H15" s="123" t="s">
        <v>291</v>
      </c>
    </row>
    <row r="16" spans="3:8" ht="12" outlineLevel="1" x14ac:dyDescent="0.2">
      <c r="C16" s="91" t="s">
        <v>170</v>
      </c>
      <c r="D16" s="82">
        <v>16.45</v>
      </c>
      <c r="E16" s="105">
        <v>0.25</v>
      </c>
      <c r="F16" s="83">
        <f t="shared" si="0"/>
        <v>4.1124999999999998</v>
      </c>
      <c r="G16" s="83">
        <f t="shared" si="1"/>
        <v>3.3987603305785123</v>
      </c>
      <c r="H16" s="123" t="s">
        <v>291</v>
      </c>
    </row>
    <row r="17" spans="3:8" ht="12" outlineLevel="1" x14ac:dyDescent="0.2">
      <c r="C17" s="91" t="s">
        <v>162</v>
      </c>
      <c r="D17" s="86">
        <v>5</v>
      </c>
      <c r="E17" s="88">
        <v>1</v>
      </c>
      <c r="F17" s="83">
        <f t="shared" si="0"/>
        <v>5</v>
      </c>
      <c r="G17" s="83">
        <f t="shared" si="1"/>
        <v>4.1322314049586781</v>
      </c>
    </row>
    <row r="18" spans="3:8" ht="12" outlineLevel="1" x14ac:dyDescent="0.2">
      <c r="C18" s="91" t="s">
        <v>157</v>
      </c>
      <c r="D18" s="86">
        <v>2</v>
      </c>
      <c r="E18" s="88">
        <v>1</v>
      </c>
      <c r="F18" s="83">
        <f t="shared" si="0"/>
        <v>2</v>
      </c>
      <c r="G18" s="83">
        <f t="shared" si="1"/>
        <v>1.6528925619834711</v>
      </c>
    </row>
    <row r="19" spans="3:8" ht="12" outlineLevel="1" x14ac:dyDescent="0.2">
      <c r="C19" s="91" t="s">
        <v>160</v>
      </c>
      <c r="D19" s="86">
        <v>1</v>
      </c>
      <c r="E19" s="88">
        <v>1</v>
      </c>
      <c r="F19" s="83">
        <f t="shared" si="0"/>
        <v>1</v>
      </c>
      <c r="G19" s="83">
        <f t="shared" si="1"/>
        <v>0.82644628099173556</v>
      </c>
    </row>
    <row r="20" spans="3:8" ht="12" outlineLevel="1" x14ac:dyDescent="0.2">
      <c r="C20" s="91" t="s">
        <v>153</v>
      </c>
      <c r="D20" s="86">
        <v>0.5</v>
      </c>
      <c r="E20" s="88">
        <v>1</v>
      </c>
      <c r="F20" s="83">
        <f t="shared" si="0"/>
        <v>0.5</v>
      </c>
      <c r="G20" s="83">
        <f t="shared" si="1"/>
        <v>0.41322314049586778</v>
      </c>
    </row>
    <row r="21" spans="3:8" ht="12" outlineLevel="1" x14ac:dyDescent="0.2">
      <c r="C21" s="91" t="s">
        <v>154</v>
      </c>
      <c r="D21" s="85">
        <v>8.6999999999999993</v>
      </c>
      <c r="E21" s="88">
        <v>1</v>
      </c>
      <c r="F21" s="83">
        <f t="shared" si="0"/>
        <v>8.6999999999999993</v>
      </c>
      <c r="G21" s="83">
        <f t="shared" si="1"/>
        <v>7.1900826446280988</v>
      </c>
    </row>
    <row r="22" spans="3:8" ht="12" outlineLevel="1" x14ac:dyDescent="0.2">
      <c r="C22" s="91" t="s">
        <v>165</v>
      </c>
      <c r="D22" s="86">
        <v>2.5</v>
      </c>
      <c r="E22" s="88">
        <v>1</v>
      </c>
      <c r="F22" s="83">
        <f t="shared" si="0"/>
        <v>2.5</v>
      </c>
      <c r="G22" s="83">
        <f t="shared" si="1"/>
        <v>2.0661157024793391</v>
      </c>
    </row>
    <row r="23" spans="3:8" ht="12" outlineLevel="1" x14ac:dyDescent="0.2">
      <c r="C23" s="78" t="s">
        <v>176</v>
      </c>
      <c r="D23" s="86">
        <v>21.7</v>
      </c>
      <c r="E23" s="88">
        <v>1</v>
      </c>
      <c r="F23" s="83">
        <f t="shared" si="0"/>
        <v>21.7</v>
      </c>
      <c r="G23" s="83">
        <f t="shared" si="1"/>
        <v>17.93388429752066</v>
      </c>
    </row>
    <row r="24" spans="3:8" ht="12" x14ac:dyDescent="0.2">
      <c r="C24" s="103" t="s">
        <v>129</v>
      </c>
      <c r="D24" s="103"/>
      <c r="E24" s="103"/>
      <c r="F24" s="103"/>
      <c r="G24" s="103"/>
    </row>
    <row r="25" spans="3:8" ht="12" outlineLevel="1" x14ac:dyDescent="0.2">
      <c r="C25" s="91" t="s">
        <v>152</v>
      </c>
      <c r="D25" s="86">
        <v>13.53</v>
      </c>
      <c r="E25" s="88">
        <v>1</v>
      </c>
      <c r="F25" s="83">
        <f t="shared" si="0"/>
        <v>13.53</v>
      </c>
      <c r="G25" s="83">
        <f t="shared" si="1"/>
        <v>11.181818181818182</v>
      </c>
    </row>
    <row r="26" spans="3:8" ht="12" outlineLevel="1" x14ac:dyDescent="0.2">
      <c r="C26" s="91" t="s">
        <v>201</v>
      </c>
      <c r="D26" s="86">
        <v>3.97</v>
      </c>
      <c r="E26" s="88">
        <v>1</v>
      </c>
      <c r="F26" s="83">
        <f t="shared" si="0"/>
        <v>3.97</v>
      </c>
      <c r="G26" s="83">
        <f t="shared" si="1"/>
        <v>3.2809917355371905</v>
      </c>
    </row>
    <row r="27" spans="3:8" ht="12" outlineLevel="1" x14ac:dyDescent="0.2">
      <c r="C27" s="91" t="s">
        <v>202</v>
      </c>
      <c r="D27" s="86">
        <v>3.48</v>
      </c>
      <c r="E27" s="88">
        <v>1</v>
      </c>
      <c r="F27" s="83">
        <f t="shared" ref="F27" si="6">D27*E27</f>
        <v>3.48</v>
      </c>
      <c r="G27" s="83">
        <f t="shared" ref="G27" si="7">F27/(1+VAT.rate)</f>
        <v>2.8760330578512399</v>
      </c>
    </row>
    <row r="28" spans="3:8" ht="12" outlineLevel="1" x14ac:dyDescent="0.2">
      <c r="C28" s="91" t="s">
        <v>198</v>
      </c>
      <c r="D28" s="86">
        <v>0</v>
      </c>
      <c r="E28" s="88">
        <v>1</v>
      </c>
      <c r="F28" s="83">
        <f t="shared" ref="F28" si="8">D28*E28</f>
        <v>0</v>
      </c>
      <c r="G28" s="83">
        <f t="shared" ref="G28" si="9">F28/(1+VAT.rate)</f>
        <v>0</v>
      </c>
      <c r="H28" s="123" t="s">
        <v>287</v>
      </c>
    </row>
    <row r="29" spans="3:8" ht="12" outlineLevel="1" x14ac:dyDescent="0.2">
      <c r="C29" s="91" t="s">
        <v>199</v>
      </c>
      <c r="D29" s="86">
        <v>0.49</v>
      </c>
      <c r="E29" s="88">
        <v>1</v>
      </c>
      <c r="F29" s="83">
        <f t="shared" ref="F29" si="10">D29*E29</f>
        <v>0.49</v>
      </c>
      <c r="G29" s="83">
        <f t="shared" ref="G29" si="11">F29/(1+VAT.rate)</f>
        <v>0.4049586776859504</v>
      </c>
      <c r="H29" s="123" t="s">
        <v>288</v>
      </c>
    </row>
    <row r="30" spans="3:8" ht="12" outlineLevel="1" x14ac:dyDescent="0.2">
      <c r="C30" s="91" t="s">
        <v>180</v>
      </c>
      <c r="D30" s="85">
        <v>24.95</v>
      </c>
      <c r="E30" s="88">
        <v>1</v>
      </c>
      <c r="F30" s="83">
        <f t="shared" si="0"/>
        <v>24.95</v>
      </c>
      <c r="G30" s="83">
        <f t="shared" si="1"/>
        <v>20.619834710743802</v>
      </c>
    </row>
    <row r="31" spans="3:8" ht="12" outlineLevel="1" x14ac:dyDescent="0.2">
      <c r="C31" s="91" t="s">
        <v>182</v>
      </c>
      <c r="D31" s="85">
        <v>35.950000000000003</v>
      </c>
      <c r="E31" s="88">
        <v>1</v>
      </c>
      <c r="F31" s="83">
        <f t="shared" si="0"/>
        <v>35.950000000000003</v>
      </c>
      <c r="G31" s="83">
        <f t="shared" si="1"/>
        <v>29.710743801652896</v>
      </c>
    </row>
    <row r="32" spans="3:8" ht="12" outlineLevel="1" x14ac:dyDescent="0.2">
      <c r="C32" s="91" t="s">
        <v>181</v>
      </c>
      <c r="D32" s="85">
        <v>45.95</v>
      </c>
      <c r="E32" s="88">
        <v>1</v>
      </c>
      <c r="F32" s="83">
        <f t="shared" si="0"/>
        <v>45.95</v>
      </c>
      <c r="G32" s="83">
        <f t="shared" si="1"/>
        <v>37.97520661157025</v>
      </c>
    </row>
    <row r="33" spans="3:8" ht="12" outlineLevel="1" x14ac:dyDescent="0.2">
      <c r="C33" s="91" t="s">
        <v>183</v>
      </c>
      <c r="D33" s="85">
        <v>56.95</v>
      </c>
      <c r="E33" s="88">
        <v>1</v>
      </c>
      <c r="F33" s="83">
        <f t="shared" si="0"/>
        <v>56.95</v>
      </c>
      <c r="G33" s="83">
        <f t="shared" si="1"/>
        <v>47.066115702479344</v>
      </c>
    </row>
    <row r="34" spans="3:8" ht="12" outlineLevel="1" x14ac:dyDescent="0.2">
      <c r="C34" s="91" t="s">
        <v>184</v>
      </c>
      <c r="D34" s="85">
        <v>76.95</v>
      </c>
      <c r="E34" s="88">
        <v>1</v>
      </c>
      <c r="F34" s="83">
        <f t="shared" si="0"/>
        <v>76.95</v>
      </c>
      <c r="G34" s="83">
        <f t="shared" si="1"/>
        <v>63.595041322314053</v>
      </c>
    </row>
    <row r="35" spans="3:8" ht="12" outlineLevel="1" x14ac:dyDescent="0.2">
      <c r="C35" s="91" t="s">
        <v>193</v>
      </c>
      <c r="D35" s="82">
        <v>9.9</v>
      </c>
      <c r="E35" s="105">
        <v>0.25</v>
      </c>
      <c r="F35" s="83">
        <f>D35*E35</f>
        <v>2.4750000000000001</v>
      </c>
      <c r="G35" s="83">
        <f>F35/(1+VAT.rate)</f>
        <v>2.0454545454545454</v>
      </c>
      <c r="H35" s="123" t="s">
        <v>291</v>
      </c>
    </row>
    <row r="36" spans="3:8" ht="12" outlineLevel="1" x14ac:dyDescent="0.2">
      <c r="C36" s="91" t="s">
        <v>194</v>
      </c>
      <c r="D36" s="85">
        <v>2</v>
      </c>
      <c r="E36" s="105">
        <v>0.25</v>
      </c>
      <c r="F36" s="83">
        <f>D36*E36</f>
        <v>0.5</v>
      </c>
      <c r="G36" s="83">
        <f>F36/(1+VAT.rate)</f>
        <v>0.41322314049586778</v>
      </c>
      <c r="H36" s="123" t="s">
        <v>291</v>
      </c>
    </row>
    <row r="37" spans="3:8" ht="12" outlineLevel="1" x14ac:dyDescent="0.2">
      <c r="C37" s="91" t="s">
        <v>195</v>
      </c>
      <c r="D37" s="82">
        <v>9.9</v>
      </c>
      <c r="E37" s="105">
        <v>0.25</v>
      </c>
      <c r="F37" s="83">
        <f>D37*E37</f>
        <v>2.4750000000000001</v>
      </c>
      <c r="G37" s="83">
        <f>F37/(1+VAT.rate)</f>
        <v>2.0454545454545454</v>
      </c>
      <c r="H37" s="123" t="s">
        <v>291</v>
      </c>
    </row>
    <row r="38" spans="3:8" ht="12" outlineLevel="1" x14ac:dyDescent="0.2">
      <c r="C38" s="91" t="s">
        <v>196</v>
      </c>
      <c r="D38" s="85">
        <v>2</v>
      </c>
      <c r="E38" s="105">
        <v>0.25</v>
      </c>
      <c r="F38" s="83">
        <f>D38*E38</f>
        <v>0.5</v>
      </c>
      <c r="G38" s="83">
        <f>F38/(1+VAT.rate)</f>
        <v>0.41322314049586778</v>
      </c>
      <c r="H38" s="123" t="s">
        <v>291</v>
      </c>
    </row>
    <row r="39" spans="3:8" ht="12" outlineLevel="1" x14ac:dyDescent="0.2">
      <c r="C39" s="91" t="s">
        <v>163</v>
      </c>
      <c r="D39" s="86">
        <f>D17</f>
        <v>5</v>
      </c>
      <c r="E39" s="88">
        <v>1</v>
      </c>
      <c r="F39" s="83">
        <f t="shared" si="0"/>
        <v>5</v>
      </c>
      <c r="G39" s="83">
        <f t="shared" si="1"/>
        <v>4.1322314049586781</v>
      </c>
    </row>
    <row r="40" spans="3:8" ht="12" outlineLevel="1" x14ac:dyDescent="0.2">
      <c r="C40" s="91" t="s">
        <v>158</v>
      </c>
      <c r="D40" s="86">
        <f>D18</f>
        <v>2</v>
      </c>
      <c r="E40" s="88">
        <v>1</v>
      </c>
      <c r="F40" s="83">
        <f t="shared" si="0"/>
        <v>2</v>
      </c>
      <c r="G40" s="83">
        <f t="shared" si="1"/>
        <v>1.6528925619834711</v>
      </c>
    </row>
    <row r="41" spans="3:8" ht="12" outlineLevel="1" x14ac:dyDescent="0.2">
      <c r="C41" s="91" t="s">
        <v>155</v>
      </c>
      <c r="D41" s="85">
        <v>7.45</v>
      </c>
      <c r="E41" s="88">
        <v>1</v>
      </c>
      <c r="F41" s="83">
        <f t="shared" si="0"/>
        <v>7.45</v>
      </c>
      <c r="G41" s="83">
        <f t="shared" si="1"/>
        <v>6.1570247933884303</v>
      </c>
    </row>
    <row r="42" spans="3:8" ht="12" outlineLevel="1" x14ac:dyDescent="0.2">
      <c r="C42" s="91" t="s">
        <v>166</v>
      </c>
      <c r="D42" s="85">
        <f>D22</f>
        <v>2.5</v>
      </c>
      <c r="E42" s="88">
        <v>1</v>
      </c>
      <c r="F42" s="83">
        <f t="shared" si="0"/>
        <v>2.5</v>
      </c>
      <c r="G42" s="83">
        <f t="shared" si="1"/>
        <v>2.0661157024793391</v>
      </c>
    </row>
    <row r="43" spans="3:8" ht="12" outlineLevel="1" x14ac:dyDescent="0.2">
      <c r="C43" s="78" t="s">
        <v>171</v>
      </c>
      <c r="D43" s="85">
        <v>8.9499999999999993</v>
      </c>
      <c r="E43" s="88">
        <v>1</v>
      </c>
      <c r="F43" s="83">
        <f t="shared" si="0"/>
        <v>8.9499999999999993</v>
      </c>
      <c r="G43" s="83">
        <f t="shared" si="1"/>
        <v>7.3966942148760326</v>
      </c>
    </row>
    <row r="44" spans="3:8" ht="12" outlineLevel="1" x14ac:dyDescent="0.2">
      <c r="C44" s="78" t="s">
        <v>172</v>
      </c>
      <c r="D44" s="85">
        <v>18.95</v>
      </c>
      <c r="E44" s="93">
        <v>1</v>
      </c>
      <c r="F44" s="83">
        <f t="shared" si="0"/>
        <v>18.95</v>
      </c>
      <c r="G44" s="83">
        <f t="shared" si="1"/>
        <v>15.661157024793388</v>
      </c>
    </row>
    <row r="45" spans="3:8" ht="12" x14ac:dyDescent="0.2">
      <c r="C45" s="103" t="s">
        <v>127</v>
      </c>
      <c r="D45" s="103"/>
      <c r="E45" s="103"/>
      <c r="F45" s="103"/>
      <c r="G45" s="103"/>
    </row>
    <row r="46" spans="3:8" ht="12" outlineLevel="1" x14ac:dyDescent="0.2">
      <c r="C46" s="91" t="s">
        <v>150</v>
      </c>
      <c r="D46" s="86">
        <v>18.8</v>
      </c>
      <c r="E46" s="88">
        <v>1</v>
      </c>
      <c r="F46" s="83">
        <f t="shared" si="0"/>
        <v>18.8</v>
      </c>
      <c r="G46" s="83">
        <f t="shared" si="1"/>
        <v>15.53719008264463</v>
      </c>
    </row>
    <row r="47" spans="3:8" ht="12" outlineLevel="1" x14ac:dyDescent="0.2">
      <c r="C47" s="91" t="s">
        <v>186</v>
      </c>
      <c r="D47" s="86">
        <v>5.5</v>
      </c>
      <c r="E47" s="88">
        <v>1</v>
      </c>
      <c r="F47" s="83">
        <f t="shared" si="0"/>
        <v>5.5</v>
      </c>
      <c r="G47" s="83">
        <f t="shared" si="1"/>
        <v>4.5454545454545459</v>
      </c>
    </row>
    <row r="48" spans="3:8" ht="12" outlineLevel="1" x14ac:dyDescent="0.2">
      <c r="C48" s="91" t="s">
        <v>197</v>
      </c>
      <c r="D48" s="86">
        <v>0</v>
      </c>
      <c r="E48" s="88">
        <v>1</v>
      </c>
      <c r="F48" s="83">
        <f t="shared" ref="F48" si="12">D48*E48</f>
        <v>0</v>
      </c>
      <c r="G48" s="83">
        <f t="shared" ref="G48" si="13">F48/(1+VAT.rate)</f>
        <v>0</v>
      </c>
      <c r="H48" s="123" t="s">
        <v>286</v>
      </c>
    </row>
    <row r="49" spans="2:9" ht="12" outlineLevel="1" x14ac:dyDescent="0.2">
      <c r="C49" s="91" t="s">
        <v>213</v>
      </c>
      <c r="D49" s="82">
        <v>31.9</v>
      </c>
      <c r="E49" s="88">
        <v>1</v>
      </c>
      <c r="F49" s="83">
        <f t="shared" si="0"/>
        <v>31.9</v>
      </c>
      <c r="G49" s="83">
        <f t="shared" si="1"/>
        <v>26.363636363636363</v>
      </c>
    </row>
    <row r="50" spans="2:9" ht="12" outlineLevel="1" x14ac:dyDescent="0.2">
      <c r="C50" s="91" t="s">
        <v>214</v>
      </c>
      <c r="D50" s="85">
        <v>51.9</v>
      </c>
      <c r="E50" s="88">
        <v>1</v>
      </c>
      <c r="F50" s="83">
        <f t="shared" si="0"/>
        <v>51.9</v>
      </c>
      <c r="G50" s="83">
        <f t="shared" si="1"/>
        <v>42.892561983471076</v>
      </c>
    </row>
    <row r="51" spans="2:9" ht="12" outlineLevel="1" x14ac:dyDescent="0.2">
      <c r="C51" s="91" t="s">
        <v>215</v>
      </c>
      <c r="D51" s="85">
        <v>61.9</v>
      </c>
      <c r="E51" s="88">
        <v>1</v>
      </c>
      <c r="F51" s="83">
        <f t="shared" si="0"/>
        <v>61.9</v>
      </c>
      <c r="G51" s="83">
        <f t="shared" si="1"/>
        <v>51.15702479338843</v>
      </c>
    </row>
    <row r="52" spans="2:9" ht="12" outlineLevel="1" x14ac:dyDescent="0.2">
      <c r="C52" s="92" t="s">
        <v>190</v>
      </c>
      <c r="D52" s="82">
        <v>5.2</v>
      </c>
      <c r="E52" s="105">
        <v>0.25</v>
      </c>
      <c r="F52" s="83">
        <f t="shared" ref="F52" si="14">D52*E52</f>
        <v>1.3</v>
      </c>
      <c r="G52" s="83">
        <f t="shared" ref="G52" si="15">F52/(1+VAT.rate)</f>
        <v>1.0743801652892562</v>
      </c>
      <c r="H52" s="123" t="s">
        <v>291</v>
      </c>
    </row>
    <row r="53" spans="2:9" ht="12" outlineLevel="1" x14ac:dyDescent="0.2">
      <c r="C53" s="92" t="s">
        <v>168</v>
      </c>
      <c r="D53" s="82">
        <v>5.2</v>
      </c>
      <c r="E53" s="105">
        <v>0.25</v>
      </c>
      <c r="F53" s="83">
        <f t="shared" si="0"/>
        <v>1.3</v>
      </c>
      <c r="G53" s="83">
        <f t="shared" si="1"/>
        <v>1.0743801652892562</v>
      </c>
      <c r="H53" s="123" t="s">
        <v>291</v>
      </c>
    </row>
    <row r="54" spans="2:9" ht="12" outlineLevel="1" x14ac:dyDescent="0.2">
      <c r="C54" s="91" t="s">
        <v>164</v>
      </c>
      <c r="D54" s="82">
        <f>D17</f>
        <v>5</v>
      </c>
      <c r="E54" s="93">
        <v>1</v>
      </c>
      <c r="F54" s="83">
        <f t="shared" si="0"/>
        <v>5</v>
      </c>
      <c r="G54" s="83">
        <f t="shared" si="1"/>
        <v>4.1322314049586781</v>
      </c>
      <c r="H54" s="123"/>
    </row>
    <row r="55" spans="2:9" ht="12" outlineLevel="1" x14ac:dyDescent="0.2">
      <c r="C55" s="91" t="s">
        <v>159</v>
      </c>
      <c r="D55" s="82">
        <f>D18</f>
        <v>2</v>
      </c>
      <c r="E55" s="93">
        <v>1</v>
      </c>
      <c r="F55" s="83">
        <f t="shared" si="0"/>
        <v>2</v>
      </c>
      <c r="G55" s="83">
        <f t="shared" si="1"/>
        <v>1.6528925619834711</v>
      </c>
      <c r="H55" s="123"/>
    </row>
    <row r="56" spans="2:9" ht="12" outlineLevel="1" x14ac:dyDescent="0.2">
      <c r="C56" s="91" t="s">
        <v>161</v>
      </c>
      <c r="D56" s="82">
        <v>0</v>
      </c>
      <c r="E56" s="93">
        <v>1</v>
      </c>
      <c r="F56" s="83">
        <f t="shared" si="0"/>
        <v>0</v>
      </c>
      <c r="G56" s="83">
        <f t="shared" si="1"/>
        <v>0</v>
      </c>
    </row>
    <row r="57" spans="2:9" ht="12" outlineLevel="1" x14ac:dyDescent="0.2">
      <c r="C57" s="91" t="s">
        <v>200</v>
      </c>
      <c r="D57" s="82">
        <v>0.3</v>
      </c>
      <c r="E57" s="93">
        <v>1</v>
      </c>
      <c r="F57" s="83">
        <f t="shared" si="0"/>
        <v>0.3</v>
      </c>
      <c r="G57" s="83">
        <f t="shared" si="1"/>
        <v>0.24793388429752067</v>
      </c>
    </row>
    <row r="58" spans="2:9" ht="12" outlineLevel="1" x14ac:dyDescent="0.2">
      <c r="C58" s="91" t="s">
        <v>156</v>
      </c>
      <c r="D58" s="82">
        <v>10</v>
      </c>
      <c r="E58" s="93">
        <v>1</v>
      </c>
      <c r="F58" s="83">
        <f t="shared" si="0"/>
        <v>10</v>
      </c>
      <c r="G58" s="83">
        <f t="shared" si="1"/>
        <v>8.2644628099173563</v>
      </c>
    </row>
    <row r="59" spans="2:9" ht="12" outlineLevel="1" x14ac:dyDescent="0.2">
      <c r="C59" s="91" t="s">
        <v>167</v>
      </c>
      <c r="D59" s="82">
        <v>0</v>
      </c>
      <c r="E59" s="93">
        <v>1</v>
      </c>
      <c r="F59" s="83">
        <f t="shared" si="0"/>
        <v>0</v>
      </c>
      <c r="G59" s="83">
        <f t="shared" si="1"/>
        <v>0</v>
      </c>
    </row>
    <row r="60" spans="2:9" ht="12" outlineLevel="1" x14ac:dyDescent="0.2">
      <c r="C60" s="78" t="s">
        <v>173</v>
      </c>
      <c r="D60" s="85">
        <v>13.3</v>
      </c>
      <c r="E60" s="93">
        <v>1</v>
      </c>
      <c r="F60" s="83">
        <f t="shared" si="0"/>
        <v>13.3</v>
      </c>
      <c r="G60" s="83">
        <f t="shared" si="1"/>
        <v>10.991735537190083</v>
      </c>
    </row>
    <row r="61" spans="2:9" ht="12" outlineLevel="1" x14ac:dyDescent="0.2">
      <c r="C61" s="78" t="s">
        <v>174</v>
      </c>
      <c r="D61" s="85">
        <v>20.5</v>
      </c>
      <c r="E61" s="93">
        <v>1</v>
      </c>
      <c r="F61" s="83">
        <f t="shared" si="0"/>
        <v>20.5</v>
      </c>
      <c r="G61" s="83">
        <f t="shared" si="1"/>
        <v>16.942148760330578</v>
      </c>
    </row>
    <row r="62" spans="2:9" ht="12.6" outlineLevel="1" thickBot="1" x14ac:dyDescent="0.25">
      <c r="C62" s="78" t="s">
        <v>175</v>
      </c>
      <c r="D62" s="85">
        <v>12.5</v>
      </c>
      <c r="E62" s="93">
        <v>1</v>
      </c>
      <c r="F62" s="83">
        <f t="shared" si="0"/>
        <v>12.5</v>
      </c>
      <c r="G62" s="83">
        <f t="shared" si="1"/>
        <v>10.330578512396695</v>
      </c>
    </row>
    <row r="63" spans="2:9" x14ac:dyDescent="0.2">
      <c r="C63" s="89"/>
      <c r="D63" s="89"/>
      <c r="E63" s="89"/>
      <c r="G63" s="89"/>
    </row>
    <row r="64" spans="2:9" ht="17.399999999999999" x14ac:dyDescent="0.2">
      <c r="B64" s="7" t="s">
        <v>205</v>
      </c>
      <c r="D64" s="42" t="s">
        <v>191</v>
      </c>
      <c r="H64" s="94">
        <v>2</v>
      </c>
      <c r="I64" s="123" t="s">
        <v>285</v>
      </c>
    </row>
    <row r="65" spans="2:8" ht="24" x14ac:dyDescent="0.2">
      <c r="C65" s="59"/>
      <c r="D65" s="1" t="s">
        <v>217</v>
      </c>
      <c r="E65" s="1" t="s">
        <v>292</v>
      </c>
      <c r="F65" s="1" t="s">
        <v>293</v>
      </c>
      <c r="G65" s="42"/>
      <c r="H65" s="1" t="str">
        <f>INDEX(liste.minus,$H$64)</f>
        <v>After start-up phase</v>
      </c>
    </row>
    <row r="66" spans="2:8" ht="12" x14ac:dyDescent="0.2">
      <c r="C66" s="97" t="s">
        <v>128</v>
      </c>
      <c r="D66" s="81">
        <v>0.23</v>
      </c>
      <c r="E66" s="99">
        <v>0.20746012867239169</v>
      </c>
      <c r="F66" s="99">
        <v>0.28219471864246592</v>
      </c>
      <c r="H66" s="113">
        <f>INDEX($D66:$F66,$H$64)</f>
        <v>0.20746012867239169</v>
      </c>
    </row>
    <row r="67" spans="2:8" ht="12" x14ac:dyDescent="0.2">
      <c r="C67" s="97" t="s">
        <v>188</v>
      </c>
      <c r="D67" s="81">
        <v>0.23</v>
      </c>
      <c r="E67" s="99">
        <v>0.22871079615870746</v>
      </c>
      <c r="F67" s="99">
        <v>0.34861164288336011</v>
      </c>
      <c r="H67" s="113">
        <f>INDEX($D67:$F67,$H$64)</f>
        <v>0.22871079615870746</v>
      </c>
    </row>
    <row r="68" spans="2:8" ht="12" x14ac:dyDescent="0.2">
      <c r="C68" s="97" t="s">
        <v>189</v>
      </c>
      <c r="D68" s="81">
        <f>D67</f>
        <v>0.23</v>
      </c>
      <c r="E68" s="99">
        <v>0.28325393805984955</v>
      </c>
      <c r="F68" s="99">
        <v>0.3975046789402934</v>
      </c>
      <c r="H68" s="113">
        <f>INDEX($D68:$F68,$H$64)</f>
        <v>0.28325393805984955</v>
      </c>
    </row>
    <row r="69" spans="2:8" ht="12" x14ac:dyDescent="0.2">
      <c r="C69" s="98" t="s">
        <v>127</v>
      </c>
      <c r="D69" s="81">
        <v>0.2</v>
      </c>
      <c r="E69" s="99">
        <v>0.21549535467870184</v>
      </c>
      <c r="F69" s="99">
        <v>0.27372243954251868</v>
      </c>
      <c r="H69" s="113">
        <f>INDEX($D69:$F69,$H$64)</f>
        <v>0.21549535467870184</v>
      </c>
    </row>
    <row r="70" spans="2:8" x14ac:dyDescent="0.2">
      <c r="H70" s="42" t="s">
        <v>192</v>
      </c>
    </row>
    <row r="71" spans="2:8" x14ac:dyDescent="0.2">
      <c r="H71" s="42"/>
    </row>
    <row r="72" spans="2:8" ht="17.399999999999999" x14ac:dyDescent="0.2">
      <c r="B72" s="7" t="s">
        <v>206</v>
      </c>
      <c r="D72" s="42" t="s">
        <v>209</v>
      </c>
    </row>
    <row r="73" spans="2:8" ht="24" x14ac:dyDescent="0.2">
      <c r="C73" s="59"/>
      <c r="D73" s="1" t="s">
        <v>217</v>
      </c>
      <c r="E73" s="1" t="str">
        <f t="shared" ref="E73:F73" si="16">E$65</f>
        <v>After start-up phase</v>
      </c>
      <c r="F73" s="1" t="str">
        <f t="shared" si="16"/>
        <v>During start-up phase</v>
      </c>
      <c r="G73" s="42"/>
      <c r="H73" s="1" t="str">
        <f>INDEX(liste.minus,$H$64)</f>
        <v>After start-up phase</v>
      </c>
    </row>
    <row r="74" spans="2:8" ht="12" x14ac:dyDescent="0.2">
      <c r="C74" s="97" t="s">
        <v>128</v>
      </c>
      <c r="D74" s="81">
        <v>0.3</v>
      </c>
      <c r="E74" s="121">
        <v>0.25073783648604414</v>
      </c>
      <c r="F74" s="121">
        <v>0.36820176061761051</v>
      </c>
      <c r="H74" s="113">
        <f>INDEX($D74:$F74,$H$64)</f>
        <v>0.25073783648604414</v>
      </c>
    </row>
    <row r="75" spans="2:8" ht="12" x14ac:dyDescent="0.2">
      <c r="C75" s="97" t="s">
        <v>188</v>
      </c>
      <c r="D75" s="81">
        <v>0.3</v>
      </c>
      <c r="E75" s="121">
        <v>0.30666089799678709</v>
      </c>
      <c r="F75" s="121">
        <v>0.44100101954240067</v>
      </c>
      <c r="H75" s="113">
        <f>INDEX($D75:$F75,$H$64)</f>
        <v>0.30666089799678709</v>
      </c>
    </row>
    <row r="76" spans="2:8" ht="12" x14ac:dyDescent="0.2">
      <c r="C76" s="97" t="s">
        <v>189</v>
      </c>
      <c r="D76" s="81">
        <f>D75</f>
        <v>0.3</v>
      </c>
      <c r="E76" s="121">
        <v>0.29926077393716671</v>
      </c>
      <c r="F76" s="121">
        <v>0.4336008954827803</v>
      </c>
      <c r="H76" s="113">
        <f>INDEX($D76:$F76,$H$64)</f>
        <v>0.29926077393716671</v>
      </c>
    </row>
    <row r="77" spans="2:8" ht="12" x14ac:dyDescent="0.2">
      <c r="C77" s="98" t="s">
        <v>127</v>
      </c>
      <c r="D77" s="81">
        <v>0.2</v>
      </c>
      <c r="E77" s="121">
        <v>6.6064149280802148E-2</v>
      </c>
      <c r="F77" s="121">
        <v>0.20040427082641571</v>
      </c>
      <c r="H77" s="113">
        <f>INDEX($D77:$F77,$H$64)</f>
        <v>6.6064149280802148E-2</v>
      </c>
    </row>
    <row r="78" spans="2:8" x14ac:dyDescent="0.2">
      <c r="H78" s="42" t="s">
        <v>210</v>
      </c>
    </row>
    <row r="79" spans="2:8" x14ac:dyDescent="0.2">
      <c r="E79" s="104"/>
      <c r="H79" s="42"/>
    </row>
    <row r="80" spans="2:8" ht="17.399999999999999" x14ac:dyDescent="0.2">
      <c r="B80" s="7" t="s">
        <v>207</v>
      </c>
      <c r="D80" s="42" t="s">
        <v>208</v>
      </c>
    </row>
    <row r="81" spans="3:11" ht="24" x14ac:dyDescent="0.2">
      <c r="C81" s="59"/>
      <c r="D81" s="1" t="s">
        <v>217</v>
      </c>
      <c r="E81" s="1" t="str">
        <f t="shared" ref="E81:F81" si="17">E$65</f>
        <v>After start-up phase</v>
      </c>
      <c r="F81" s="1" t="str">
        <f t="shared" si="17"/>
        <v>During start-up phase</v>
      </c>
      <c r="G81" s="42"/>
      <c r="H81" s="1" t="str">
        <f>INDEX(liste.minus,$H$64)</f>
        <v>After start-up phase</v>
      </c>
    </row>
    <row r="82" spans="3:11" ht="12" x14ac:dyDescent="0.2">
      <c r="C82" s="97" t="s">
        <v>128</v>
      </c>
      <c r="D82" s="81">
        <v>0.3</v>
      </c>
      <c r="E82" s="99">
        <v>0.26811293755494847</v>
      </c>
      <c r="F82" s="99">
        <v>0.37155946518119259</v>
      </c>
      <c r="H82" s="113">
        <f>INDEX($D82:$F82,$H$64)</f>
        <v>0.26811293755494847</v>
      </c>
    </row>
    <row r="83" spans="3:11" ht="12" x14ac:dyDescent="0.2">
      <c r="C83" s="97" t="s">
        <v>188</v>
      </c>
      <c r="D83" s="81">
        <v>0.3</v>
      </c>
      <c r="E83" s="99">
        <v>0.34640624684907872</v>
      </c>
      <c r="F83" s="99">
        <v>0.4492978555917338</v>
      </c>
      <c r="H83" s="113">
        <f>INDEX($D83:$F83,$H$64)</f>
        <v>0.34640624684907872</v>
      </c>
    </row>
    <row r="84" spans="3:11" ht="12" x14ac:dyDescent="0.2">
      <c r="C84" s="97" t="s">
        <v>189</v>
      </c>
      <c r="D84" s="81">
        <f>D83</f>
        <v>0.3</v>
      </c>
      <c r="E84" s="99">
        <v>0.33614359243042397</v>
      </c>
      <c r="F84" s="99">
        <v>0.44130017804006655</v>
      </c>
      <c r="H84" s="113">
        <f>INDEX($D84:$F84,$H$64)</f>
        <v>0.33614359243042397</v>
      </c>
    </row>
    <row r="85" spans="3:11" ht="12" x14ac:dyDescent="0.2">
      <c r="C85" s="98" t="s">
        <v>127</v>
      </c>
      <c r="D85" s="81">
        <v>0.2</v>
      </c>
      <c r="E85" s="99">
        <v>0.23704881378309131</v>
      </c>
      <c r="F85" s="99">
        <v>0.24453751030936244</v>
      </c>
      <c r="H85" s="113">
        <f>INDEX($D85:$F85,$H$64)</f>
        <v>0.23704881378309131</v>
      </c>
    </row>
    <row r="86" spans="3:11" x14ac:dyDescent="0.2">
      <c r="H86" s="42" t="s">
        <v>211</v>
      </c>
    </row>
    <row r="87" spans="3:11" x14ac:dyDescent="0.2">
      <c r="I87" s="42"/>
    </row>
    <row r="88" spans="3:11" x14ac:dyDescent="0.2">
      <c r="K88" s="42"/>
    </row>
  </sheetData>
  <pageMargins left="0.70866141732283472" right="0.70866141732283472" top="0.51181102362204722" bottom="0.51181102362204722" header="0.51181102362204722" footer="0.35433070866141736"/>
  <pageSetup paperSize="9" orientation="landscape" horizontalDpi="4294967292" verticalDpi="4294967292" r:id="rId1"/>
  <headerFooter alignWithMargins="0">
    <oddFooter xml:space="preserve">&amp;L&amp;F : &amp;A&amp;CPrinted at &amp;T on &amp;D&amp;RCommercial in confidence © Analysys Mason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K30"/>
  <sheetViews>
    <sheetView showGridLines="0" defaultGridColor="0" colorId="22" zoomScaleNormal="100" workbookViewId="0">
      <pane xSplit="4" ySplit="4" topLeftCell="E5" activePane="bottomRight" state="frozen"/>
      <selection pane="topRight" activeCell="E1" sqref="E1"/>
      <selection pane="bottomLeft" activeCell="A5" sqref="A5"/>
      <selection pane="bottomRight" activeCell="M28" sqref="M28"/>
    </sheetView>
  </sheetViews>
  <sheetFormatPr defaultColWidth="12.75" defaultRowHeight="11.4" outlineLevelRow="1" x14ac:dyDescent="0.2"/>
  <cols>
    <col min="1" max="1" width="6.75" style="41" customWidth="1"/>
    <col min="2" max="2" width="12.75" style="41" customWidth="1"/>
    <col min="3" max="3" width="52" style="41" customWidth="1"/>
    <col min="4" max="4" width="0.875" style="41" customWidth="1"/>
    <col min="5" max="5" width="18.125" style="41" customWidth="1"/>
    <col min="6" max="6" width="0.875" style="41" customWidth="1"/>
    <col min="7" max="7" width="18.125" style="41" customWidth="1"/>
    <col min="8" max="8" width="0.875" style="41" customWidth="1"/>
    <col min="9" max="9" width="18.125" style="41" customWidth="1"/>
    <col min="10" max="10" width="0.875" style="41" customWidth="1"/>
    <col min="11" max="11" width="18.125" style="41" customWidth="1"/>
    <col min="12" max="16384" width="12.75" style="41"/>
  </cols>
  <sheetData>
    <row r="1" spans="1:11" s="67" customFormat="1" ht="33.75" customHeight="1" x14ac:dyDescent="0.2">
      <c r="A1" s="67" t="s">
        <v>99</v>
      </c>
      <c r="C1" s="74" t="s">
        <v>219</v>
      </c>
    </row>
    <row r="3" spans="1:11" ht="12" x14ac:dyDescent="0.2">
      <c r="E3" s="119" t="s">
        <v>128</v>
      </c>
      <c r="G3" s="118" t="s">
        <v>188</v>
      </c>
      <c r="I3" s="120" t="s">
        <v>189</v>
      </c>
      <c r="K3" s="117" t="s">
        <v>127</v>
      </c>
    </row>
    <row r="4" spans="1:11" ht="12" x14ac:dyDescent="0.2">
      <c r="C4" s="41" t="s">
        <v>238</v>
      </c>
      <c r="E4" s="122" t="s">
        <v>239</v>
      </c>
      <c r="F4" s="66"/>
      <c r="G4" s="122" t="s">
        <v>239</v>
      </c>
      <c r="H4" s="66"/>
      <c r="I4" s="122" t="s">
        <v>239</v>
      </c>
      <c r="J4" s="66"/>
      <c r="K4" s="122" t="s">
        <v>239</v>
      </c>
    </row>
    <row r="6" spans="1:11" ht="12" outlineLevel="1" x14ac:dyDescent="0.2">
      <c r="C6" s="59" t="s">
        <v>221</v>
      </c>
      <c r="D6" s="59"/>
      <c r="E6" s="59"/>
      <c r="G6" s="59"/>
      <c r="I6" s="59"/>
      <c r="K6" s="59"/>
    </row>
    <row r="7" spans="1:11" outlineLevel="1" x14ac:dyDescent="0.2"/>
    <row r="8" spans="1:11" outlineLevel="1" x14ac:dyDescent="0.2">
      <c r="C8" s="41" t="s">
        <v>284</v>
      </c>
      <c r="E8" s="94" t="s">
        <v>151</v>
      </c>
      <c r="G8" s="94" t="s">
        <v>152</v>
      </c>
      <c r="I8" s="94" t="s">
        <v>152</v>
      </c>
      <c r="K8" s="94" t="s">
        <v>150</v>
      </c>
    </row>
    <row r="9" spans="1:11" outlineLevel="1" x14ac:dyDescent="0.2">
      <c r="C9" s="95" t="s">
        <v>284</v>
      </c>
      <c r="E9" s="15">
        <f>INDEX('Values and minus percentages'!$G$6:$G$62,MATCH('Wholesale tariffs - analog TV'!E8,'Values and minus percentages'!$C$6:$C$62,0))</f>
        <v>9.9173553719008272</v>
      </c>
      <c r="G9" s="15">
        <f>INDEX('Values and minus percentages'!$G$6:$G$62,MATCH('Wholesale tariffs - analog TV'!G8,'Values and minus percentages'!$C$6:$C$62,0))</f>
        <v>11.181818181818182</v>
      </c>
      <c r="I9" s="15">
        <f>INDEX('Values and minus percentages'!$G$6:$G$62,MATCH('Wholesale tariffs - analog TV'!I8,'Values and minus percentages'!$C$6:$C$62,0))</f>
        <v>11.181818181818182</v>
      </c>
      <c r="K9" s="15">
        <f>INDEX('Values and minus percentages'!$G$6:$G$62,MATCH('Wholesale tariffs - analog TV'!K8,'Values and minus percentages'!$C$6:$C$62,0))</f>
        <v>15.53719008264463</v>
      </c>
    </row>
    <row r="10" spans="1:11" ht="12" outlineLevel="1" x14ac:dyDescent="0.2">
      <c r="C10" s="78" t="s">
        <v>212</v>
      </c>
      <c r="E10" s="83">
        <f>SUM(E9:E9)</f>
        <v>9.9173553719008272</v>
      </c>
      <c r="G10" s="83">
        <f>SUM(G9:G9)</f>
        <v>11.181818181818182</v>
      </c>
      <c r="I10" s="83">
        <f>SUM(I9:I9)</f>
        <v>11.181818181818182</v>
      </c>
      <c r="K10" s="83">
        <f>SUM(K9:K9)</f>
        <v>15.53719008264463</v>
      </c>
    </row>
    <row r="11" spans="1:11" outlineLevel="1" x14ac:dyDescent="0.2"/>
    <row r="12" spans="1:11" ht="12" x14ac:dyDescent="0.2">
      <c r="C12" s="59" t="s">
        <v>240</v>
      </c>
      <c r="D12" s="59"/>
      <c r="E12" s="59"/>
      <c r="G12" s="59"/>
      <c r="I12" s="59"/>
      <c r="K12" s="59"/>
    </row>
    <row r="13" spans="1:11" x14ac:dyDescent="0.2">
      <c r="G13" s="15"/>
      <c r="I13" s="15"/>
      <c r="K13" s="15"/>
    </row>
    <row r="14" spans="1:11" ht="12" x14ac:dyDescent="0.2">
      <c r="C14" s="78" t="s">
        <v>223</v>
      </c>
      <c r="E14" s="102">
        <f>E10</f>
        <v>9.9173553719008272</v>
      </c>
      <c r="G14" s="102">
        <f t="shared" ref="G14:K14" si="0">G10</f>
        <v>11.181818181818182</v>
      </c>
      <c r="I14" s="102">
        <f t="shared" si="0"/>
        <v>11.181818181818182</v>
      </c>
      <c r="K14" s="102">
        <f t="shared" si="0"/>
        <v>15.53719008264463</v>
      </c>
    </row>
    <row r="15" spans="1:11" x14ac:dyDescent="0.2">
      <c r="C15" s="95" t="s">
        <v>224</v>
      </c>
      <c r="E15" s="85">
        <v>9.9173553719008272</v>
      </c>
      <c r="G15" s="85">
        <v>11.18611570247934</v>
      </c>
      <c r="I15" s="85">
        <v>11.18611570247934</v>
      </c>
      <c r="K15" s="85">
        <v>12.239669421487603</v>
      </c>
    </row>
    <row r="16" spans="1:11" x14ac:dyDescent="0.2">
      <c r="C16" s="95" t="s">
        <v>225</v>
      </c>
      <c r="E16" s="96">
        <f>E14/E15-1</f>
        <v>0</v>
      </c>
      <c r="G16" s="96">
        <f t="shared" ref="G16:K16" si="1">G14/G15-1</f>
        <v>-3.8418346237967249E-4</v>
      </c>
      <c r="I16" s="96">
        <f t="shared" si="1"/>
        <v>-3.8418346237967249E-4</v>
      </c>
      <c r="K16" s="96">
        <f t="shared" si="1"/>
        <v>0.26941255908170159</v>
      </c>
    </row>
    <row r="18" spans="3:11" ht="12" x14ac:dyDescent="0.2">
      <c r="C18" s="59" t="s">
        <v>231</v>
      </c>
      <c r="D18" s="59"/>
      <c r="E18" s="59"/>
      <c r="G18" s="59"/>
      <c r="I18" s="59"/>
      <c r="K18" s="59"/>
    </row>
    <row r="20" spans="3:11" ht="12" x14ac:dyDescent="0.2">
      <c r="C20" s="78" t="s">
        <v>232</v>
      </c>
      <c r="E20" s="87">
        <f>INDEX(chosen.minus.TVanalogique,MATCH(E$3,'Values and minus percentages'!$C$66:$C$69,0))</f>
        <v>0.26811293755494847</v>
      </c>
      <c r="G20" s="87">
        <f>INDEX(chosen.minus.TVanalogique,MATCH(G$3,'Values and minus percentages'!$C$66:$C$69,0))</f>
        <v>0.34640624684907872</v>
      </c>
      <c r="I20" s="87">
        <f>INDEX(chosen.minus.TVanalogique,MATCH(I$3,'Values and minus percentages'!$C$66:$C$69,0))</f>
        <v>0.33614359243042397</v>
      </c>
      <c r="K20" s="87">
        <f>INDEX(chosen.minus.TVanalogique,MATCH(K$3,'Values and minus percentages'!$C$66:$C$69,0))</f>
        <v>0.23704881378309131</v>
      </c>
    </row>
    <row r="21" spans="3:11" x14ac:dyDescent="0.2">
      <c r="C21" s="95" t="s">
        <v>233</v>
      </c>
      <c r="E21" s="93">
        <f>INDEX('Values and minus percentages'!$D$74:$D$77,MATCH(E$3,'Values and minus percentages'!$C$74:$C$77,0))</f>
        <v>0.3</v>
      </c>
      <c r="G21" s="93">
        <f>INDEX('Values and minus percentages'!$D$74:$D$77,MATCH(G$3,'Values and minus percentages'!$C$74:$C$77,0))</f>
        <v>0.3</v>
      </c>
      <c r="I21" s="93">
        <f>INDEX('Values and minus percentages'!$D$74:$D$77,MATCH(I$3,'Values and minus percentages'!$C$74:$C$77,0))</f>
        <v>0.3</v>
      </c>
      <c r="K21" s="93">
        <f>INDEX('Values and minus percentages'!$D$74:$D$77,MATCH(K$3,'Values and minus percentages'!$C$74:$C$77,0))</f>
        <v>0.2</v>
      </c>
    </row>
    <row r="23" spans="3:11" ht="12" x14ac:dyDescent="0.2">
      <c r="C23" s="78" t="s">
        <v>234</v>
      </c>
      <c r="E23" s="101">
        <f>E14*(1-E20)</f>
        <v>7.2583840903641477</v>
      </c>
      <c r="G23" s="101">
        <f>G14*(1-G20)</f>
        <v>7.3083665125057555</v>
      </c>
      <c r="I23" s="101">
        <f>I14*(1-I20)</f>
        <v>7.4231216482779869</v>
      </c>
      <c r="K23" s="101">
        <f>K14*(1-K20)</f>
        <v>11.854117604031311</v>
      </c>
    </row>
    <row r="24" spans="3:11" x14ac:dyDescent="0.2">
      <c r="C24" s="95" t="s">
        <v>235</v>
      </c>
      <c r="E24" s="85">
        <v>6.9421487603305785</v>
      </c>
      <c r="G24" s="85">
        <v>7.8302809917355374</v>
      </c>
      <c r="I24" s="85">
        <v>7.8302809917355374</v>
      </c>
      <c r="K24" s="85">
        <v>9.7917355371900836</v>
      </c>
    </row>
    <row r="25" spans="3:11" x14ac:dyDescent="0.2">
      <c r="C25" s="95" t="s">
        <v>236</v>
      </c>
      <c r="E25" s="15">
        <f>E23-E24</f>
        <v>0.31623533003356918</v>
      </c>
      <c r="G25" s="15">
        <f t="shared" ref="G25" si="2">G23-G24</f>
        <v>-0.52191447922978185</v>
      </c>
      <c r="I25" s="15">
        <f t="shared" ref="I25" si="3">I23-I24</f>
        <v>-0.40715934345755045</v>
      </c>
      <c r="K25" s="15">
        <f>K23-K24</f>
        <v>2.0623820668412272</v>
      </c>
    </row>
    <row r="26" spans="3:11" x14ac:dyDescent="0.2">
      <c r="C26" s="95" t="s">
        <v>225</v>
      </c>
      <c r="E26" s="75">
        <f>E23/E24-1</f>
        <v>4.5552946350073675E-2</v>
      </c>
      <c r="G26" s="75">
        <f t="shared" ref="G26" si="4">G23/G24-1</f>
        <v>-6.6653352514505659E-2</v>
      </c>
      <c r="I26" s="75">
        <f t="shared" ref="I26" si="5">I23/I24-1</f>
        <v>-5.1998050119438366E-2</v>
      </c>
      <c r="K26" s="75">
        <f>K23/K24-1</f>
        <v>0.21062477218753251</v>
      </c>
    </row>
    <row r="28" spans="3:11" x14ac:dyDescent="0.2">
      <c r="E28" s="15"/>
      <c r="G28" s="15"/>
      <c r="I28" s="15"/>
      <c r="K28" s="15"/>
    </row>
    <row r="29" spans="3:11" x14ac:dyDescent="0.2">
      <c r="E29" s="15"/>
      <c r="G29" s="15"/>
      <c r="I29" s="15"/>
      <c r="K29" s="15"/>
    </row>
    <row r="30" spans="3:11" x14ac:dyDescent="0.2">
      <c r="E30" s="15"/>
      <c r="G30" s="15"/>
      <c r="I30" s="15"/>
      <c r="K30" s="15"/>
    </row>
  </sheetData>
  <pageMargins left="0.70866141732283472" right="0.70866141732283472" top="0.51181102362204722" bottom="0.51181102362204722" header="0.51181102362204722" footer="0.35433070866141736"/>
  <pageSetup paperSize="9" orientation="landscape" horizontalDpi="4294967292" verticalDpi="4294967292" r:id="rId1"/>
  <headerFooter alignWithMargins="0">
    <oddFooter xml:space="preserve">&amp;L&amp;F : &amp;A&amp;CPrinted at &amp;T on &amp;D&amp;RCommercial in confidence © Analysys Mason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K40"/>
  <sheetViews>
    <sheetView showGridLines="0" defaultGridColor="0" colorId="22" zoomScaleNormal="100" workbookViewId="0">
      <pane xSplit="4" ySplit="4" topLeftCell="E5" activePane="bottomRight" state="frozen"/>
      <selection pane="topRight" activeCell="E1" sqref="E1"/>
      <selection pane="bottomLeft" activeCell="A5" sqref="A5"/>
      <selection pane="bottomRight" activeCell="P18" sqref="P18"/>
    </sheetView>
  </sheetViews>
  <sheetFormatPr defaultColWidth="12.75" defaultRowHeight="11.4" outlineLevelRow="1" x14ac:dyDescent="0.2"/>
  <cols>
    <col min="1" max="1" width="6.75" style="41" customWidth="1"/>
    <col min="2" max="2" width="12.75" style="41" customWidth="1"/>
    <col min="3" max="3" width="48.75" style="41" customWidth="1"/>
    <col min="4" max="4" width="0.875" style="41" customWidth="1"/>
    <col min="5" max="5" width="19.25" style="41" customWidth="1"/>
    <col min="6" max="6" width="0.875" style="41" customWidth="1"/>
    <col min="7" max="7" width="19.25" style="41" customWidth="1"/>
    <col min="8" max="8" width="0.875" style="41" customWidth="1"/>
    <col min="9" max="9" width="19.25" style="41" customWidth="1"/>
    <col min="10" max="10" width="0.875" style="41" customWidth="1"/>
    <col min="11" max="11" width="19.25" style="41" customWidth="1"/>
    <col min="12" max="16384" width="12.75" style="41"/>
  </cols>
  <sheetData>
    <row r="1" spans="1:11" s="67" customFormat="1" ht="33.75" customHeight="1" x14ac:dyDescent="0.2">
      <c r="A1" s="67" t="s">
        <v>99</v>
      </c>
      <c r="C1" s="74" t="s">
        <v>220</v>
      </c>
    </row>
    <row r="3" spans="1:11" ht="12" x14ac:dyDescent="0.2">
      <c r="E3" s="119" t="s">
        <v>128</v>
      </c>
      <c r="G3" s="118" t="s">
        <v>188</v>
      </c>
      <c r="I3" s="120" t="s">
        <v>189</v>
      </c>
      <c r="K3" s="117" t="s">
        <v>127</v>
      </c>
    </row>
    <row r="4" spans="1:11" ht="12" x14ac:dyDescent="0.2">
      <c r="C4" s="41" t="s">
        <v>238</v>
      </c>
      <c r="E4" s="122" t="s">
        <v>237</v>
      </c>
      <c r="F4" s="66"/>
      <c r="G4" s="122" t="s">
        <v>237</v>
      </c>
      <c r="H4" s="66"/>
      <c r="I4" s="122" t="s">
        <v>237</v>
      </c>
      <c r="J4" s="66"/>
      <c r="K4" s="122" t="s">
        <v>237</v>
      </c>
    </row>
    <row r="6" spans="1:11" ht="12" outlineLevel="1" x14ac:dyDescent="0.2">
      <c r="C6" s="59" t="s">
        <v>221</v>
      </c>
      <c r="D6" s="59"/>
      <c r="E6" s="59"/>
      <c r="G6" s="59"/>
      <c r="I6" s="59"/>
      <c r="K6" s="59"/>
    </row>
    <row r="7" spans="1:11" outlineLevel="1" x14ac:dyDescent="0.2"/>
    <row r="8" spans="1:11" outlineLevel="1" x14ac:dyDescent="0.2">
      <c r="C8" s="41" t="s">
        <v>284</v>
      </c>
      <c r="E8" s="94" t="s">
        <v>151</v>
      </c>
      <c r="G8" s="94" t="s">
        <v>152</v>
      </c>
      <c r="I8" s="94" t="s">
        <v>152</v>
      </c>
      <c r="K8" s="94" t="s">
        <v>150</v>
      </c>
    </row>
    <row r="9" spans="1:11" outlineLevel="1" x14ac:dyDescent="0.2">
      <c r="C9" s="95" t="s">
        <v>284</v>
      </c>
      <c r="E9" s="15">
        <f>INDEX('Values and minus percentages'!$G$6:$G$62,MATCH('Wholesal tariffs - digital TV'!E8,'Values and minus percentages'!$C$6:$C$62,0))</f>
        <v>9.9173553719008272</v>
      </c>
      <c r="G9" s="15">
        <f>INDEX('Values and minus percentages'!$G$6:$G$62,MATCH('Wholesal tariffs - digital TV'!G8,'Values and minus percentages'!$C$6:$C$62,0))</f>
        <v>11.181818181818182</v>
      </c>
      <c r="I9" s="15">
        <f>INDEX('Values and minus percentages'!$G$6:$G$62,MATCH('Wholesal tariffs - digital TV'!I8,'Values and minus percentages'!$C$6:$C$62,0))</f>
        <v>11.181818181818182</v>
      </c>
      <c r="K9" s="15">
        <f>INDEX('Values and minus percentages'!$G$6:$G$62,MATCH('Wholesal tariffs - digital TV'!K8,'Values and minus percentages'!$C$6:$C$62,0))</f>
        <v>15.53719008264463</v>
      </c>
    </row>
    <row r="10" spans="1:11" ht="12" outlineLevel="1" x14ac:dyDescent="0.2">
      <c r="C10" s="78" t="s">
        <v>212</v>
      </c>
      <c r="E10" s="83">
        <f>SUM(E9:E9)</f>
        <v>9.9173553719008272</v>
      </c>
      <c r="G10" s="83">
        <f>SUM(G9:G9)</f>
        <v>11.181818181818182</v>
      </c>
      <c r="I10" s="83">
        <f>SUM(I9:I9)</f>
        <v>11.181818181818182</v>
      </c>
      <c r="K10" s="83">
        <f>SUM(K9:K9)</f>
        <v>15.53719008264463</v>
      </c>
    </row>
    <row r="11" spans="1:11" outlineLevel="1" x14ac:dyDescent="0.2"/>
    <row r="12" spans="1:11" ht="24" x14ac:dyDescent="0.2">
      <c r="C12" s="59" t="s">
        <v>222</v>
      </c>
      <c r="D12" s="59"/>
      <c r="E12" s="59"/>
      <c r="G12" s="59"/>
      <c r="I12" s="59"/>
      <c r="K12" s="59"/>
    </row>
    <row r="13" spans="1:11" x14ac:dyDescent="0.2">
      <c r="G13" s="15"/>
      <c r="I13" s="15"/>
      <c r="K13" s="15"/>
    </row>
    <row r="14" spans="1:11" ht="12" x14ac:dyDescent="0.2">
      <c r="C14" s="78" t="s">
        <v>223</v>
      </c>
      <c r="E14" s="102">
        <f>E10</f>
        <v>9.9173553719008272</v>
      </c>
      <c r="G14" s="102">
        <f t="shared" ref="G14:K14" si="0">G10</f>
        <v>11.181818181818182</v>
      </c>
      <c r="I14" s="102">
        <f t="shared" si="0"/>
        <v>11.181818181818182</v>
      </c>
      <c r="K14" s="102">
        <f t="shared" si="0"/>
        <v>15.53719008264463</v>
      </c>
    </row>
    <row r="15" spans="1:11" x14ac:dyDescent="0.2">
      <c r="C15" s="95" t="s">
        <v>224</v>
      </c>
      <c r="E15" s="85">
        <v>17.107438016528928</v>
      </c>
      <c r="G15" s="85">
        <v>17.343140495867768</v>
      </c>
      <c r="I15" s="85">
        <v>17.343140495867768</v>
      </c>
      <c r="K15" s="85">
        <v>28.231818181818181</v>
      </c>
    </row>
    <row r="16" spans="1:11" x14ac:dyDescent="0.2">
      <c r="C16" s="95" t="s">
        <v>225</v>
      </c>
      <c r="E16" s="96">
        <f>E14/E15-1</f>
        <v>-0.42028985507246375</v>
      </c>
      <c r="G16" s="96">
        <f t="shared" ref="G16:K16" si="1">G14/G15-1</f>
        <v>-0.3552598974515373</v>
      </c>
      <c r="I16" s="96">
        <f t="shared" si="1"/>
        <v>-0.3552598974515373</v>
      </c>
      <c r="K16" s="96">
        <f t="shared" si="1"/>
        <v>-0.44965676731897941</v>
      </c>
    </row>
    <row r="17" spans="3:11" outlineLevel="1" x14ac:dyDescent="0.2"/>
    <row r="18" spans="3:11" ht="12" outlineLevel="1" x14ac:dyDescent="0.2">
      <c r="C18" s="78" t="s">
        <v>226</v>
      </c>
    </row>
    <row r="19" spans="3:11" outlineLevel="1" x14ac:dyDescent="0.2">
      <c r="C19" s="112" t="s">
        <v>224</v>
      </c>
      <c r="E19" s="102">
        <f>E15</f>
        <v>17.107438016528928</v>
      </c>
      <c r="G19" s="102">
        <f>G15</f>
        <v>17.343140495867768</v>
      </c>
      <c r="I19" s="102">
        <f>I15</f>
        <v>17.343140495867768</v>
      </c>
      <c r="K19" s="102">
        <f>K15</f>
        <v>28.231818181818181</v>
      </c>
    </row>
    <row r="20" spans="3:11" outlineLevel="1" x14ac:dyDescent="0.2">
      <c r="C20" s="112" t="s">
        <v>227</v>
      </c>
      <c r="E20" s="15">
        <f>-E25</f>
        <v>-7.1900826446280988</v>
      </c>
      <c r="G20" s="15">
        <f t="shared" ref="G20:K20" si="2">-G25</f>
        <v>-6.1570247933884303</v>
      </c>
      <c r="I20" s="15">
        <f t="shared" si="2"/>
        <v>-6.1570247933884303</v>
      </c>
      <c r="K20" s="15">
        <f t="shared" si="2"/>
        <v>-8.2644628099173563</v>
      </c>
    </row>
    <row r="21" spans="3:11" outlineLevel="1" x14ac:dyDescent="0.2">
      <c r="C21" s="112" t="s">
        <v>228</v>
      </c>
      <c r="E21" s="15">
        <f t="shared" ref="E21:I21" si="3">-(E19+E20-E22)</f>
        <v>-1.7763568394002505E-15</v>
      </c>
      <c r="G21" s="15">
        <f t="shared" si="3"/>
        <v>-4.2975206611561845E-3</v>
      </c>
      <c r="I21" s="15">
        <f t="shared" si="3"/>
        <v>-4.2975206611561845E-3</v>
      </c>
      <c r="K21" s="15">
        <f>-(K19+K20-K22)</f>
        <v>-4.4301652892561929</v>
      </c>
    </row>
    <row r="22" spans="3:11" outlineLevel="1" x14ac:dyDescent="0.2">
      <c r="C22" s="112" t="s">
        <v>229</v>
      </c>
      <c r="E22" s="102">
        <f>E14</f>
        <v>9.9173553719008272</v>
      </c>
      <c r="G22" s="102">
        <f t="shared" ref="G22:K22" si="4">G14</f>
        <v>11.181818181818182</v>
      </c>
      <c r="I22" s="102">
        <f t="shared" si="4"/>
        <v>11.181818181818182</v>
      </c>
      <c r="K22" s="102">
        <f t="shared" si="4"/>
        <v>15.53719008264463</v>
      </c>
    </row>
    <row r="23" spans="3:11" outlineLevel="1" x14ac:dyDescent="0.2"/>
    <row r="24" spans="3:11" outlineLevel="1" x14ac:dyDescent="0.2">
      <c r="C24" s="41" t="s">
        <v>227</v>
      </c>
      <c r="E24" s="94" t="s">
        <v>154</v>
      </c>
      <c r="G24" s="94" t="s">
        <v>155</v>
      </c>
      <c r="I24" s="94" t="s">
        <v>155</v>
      </c>
      <c r="K24" s="94" t="s">
        <v>156</v>
      </c>
    </row>
    <row r="25" spans="3:11" outlineLevel="1" x14ac:dyDescent="0.2">
      <c r="C25" s="95" t="s">
        <v>230</v>
      </c>
      <c r="E25" s="15">
        <f>INDEX('Values and minus percentages'!$G$6:$G$62,MATCH('Wholesal tariffs - digital TV'!E24,'Values and minus percentages'!$C$6:$C$62,0))</f>
        <v>7.1900826446280988</v>
      </c>
      <c r="G25" s="15">
        <f>INDEX('Values and minus percentages'!$G$6:$G$62,MATCH('Wholesal tariffs - digital TV'!G24,'Values and minus percentages'!$C$6:$C$62,0))</f>
        <v>6.1570247933884303</v>
      </c>
      <c r="I25" s="15">
        <f>INDEX('Values and minus percentages'!$G$6:$G$62,MATCH('Wholesal tariffs - digital TV'!I24,'Values and minus percentages'!$C$6:$C$62,0))</f>
        <v>6.1570247933884303</v>
      </c>
      <c r="K25" s="15">
        <f>INDEX('Values and minus percentages'!$G$6:$G$62,MATCH('Wholesal tariffs - digital TV'!K24,'Values and minus percentages'!$C$6:$C$62,0))</f>
        <v>8.2644628099173563</v>
      </c>
    </row>
    <row r="26" spans="3:11" ht="12" outlineLevel="1" x14ac:dyDescent="0.2">
      <c r="C26" s="78"/>
    </row>
    <row r="27" spans="3:11" ht="12" x14ac:dyDescent="0.2">
      <c r="C27" s="78"/>
    </row>
    <row r="28" spans="3:11" ht="12" x14ac:dyDescent="0.2">
      <c r="C28" s="59" t="s">
        <v>231</v>
      </c>
      <c r="D28" s="59"/>
      <c r="E28" s="59"/>
      <c r="G28" s="59"/>
      <c r="I28" s="59"/>
      <c r="K28" s="59"/>
    </row>
    <row r="30" spans="3:11" ht="12" x14ac:dyDescent="0.2">
      <c r="C30" s="78" t="s">
        <v>232</v>
      </c>
      <c r="E30" s="87">
        <f>INDEX(chosen.minus.TVnumerique,MATCH(E$3,'Values and minus percentages'!$C$66:$C$69,0))</f>
        <v>0.25073783648604414</v>
      </c>
      <c r="G30" s="87">
        <f>INDEX(chosen.minus.TVnumerique,MATCH(G$3,'Values and minus percentages'!$C$66:$C$69,0))</f>
        <v>0.30666089799678709</v>
      </c>
      <c r="I30" s="87">
        <f>INDEX(chosen.minus.TVnumerique,MATCH(I$3,'Values and minus percentages'!$C$66:$C$69,0))</f>
        <v>0.29926077393716671</v>
      </c>
      <c r="K30" s="87">
        <f>INDEX(chosen.minus.TVnumerique,MATCH(K$3,'Values and minus percentages'!$C$66:$C$69,0))</f>
        <v>6.6064149280802148E-2</v>
      </c>
    </row>
    <row r="31" spans="3:11" x14ac:dyDescent="0.2">
      <c r="C31" s="95" t="s">
        <v>233</v>
      </c>
      <c r="E31" s="93">
        <f>INDEX('Values and minus percentages'!$D$74:$D$77,MATCH(E$3,'Values and minus percentages'!$C$74:$C$77,0))</f>
        <v>0.3</v>
      </c>
      <c r="G31" s="93">
        <f>INDEX('Values and minus percentages'!$D$74:$D$77,MATCH(G$3,'Values and minus percentages'!$C$74:$C$77,0))</f>
        <v>0.3</v>
      </c>
      <c r="I31" s="93">
        <f>INDEX('Values and minus percentages'!$D$74:$D$77,MATCH(I$3,'Values and minus percentages'!$C$74:$C$77,0))</f>
        <v>0.3</v>
      </c>
      <c r="K31" s="93">
        <f>INDEX('Values and minus percentages'!$D$74:$D$77,MATCH(K$3,'Values and minus percentages'!$C$74:$C$77,0))</f>
        <v>0.2</v>
      </c>
    </row>
    <row r="33" spans="3:11" ht="12" x14ac:dyDescent="0.2">
      <c r="C33" s="78" t="s">
        <v>234</v>
      </c>
      <c r="E33" s="101">
        <f>E14*(1-E30)</f>
        <v>7.4306991422871658</v>
      </c>
      <c r="G33" s="101">
        <f>G14*(1-G30)</f>
        <v>7.752791776945017</v>
      </c>
      <c r="I33" s="101">
        <f>I14*(1-I30)</f>
        <v>7.8355386187025911</v>
      </c>
      <c r="K33" s="101">
        <f>K14*(1-K30)</f>
        <v>14.510738837620595</v>
      </c>
    </row>
    <row r="34" spans="3:11" x14ac:dyDescent="0.2">
      <c r="C34" s="95" t="s">
        <v>235</v>
      </c>
      <c r="E34" s="85">
        <v>11.975206611570249</v>
      </c>
      <c r="G34" s="85">
        <v>12.140198347107438</v>
      </c>
      <c r="I34" s="85">
        <v>12.140198347107438</v>
      </c>
      <c r="K34" s="85">
        <v>22.585454545454546</v>
      </c>
    </row>
    <row r="35" spans="3:11" x14ac:dyDescent="0.2">
      <c r="C35" s="95" t="s">
        <v>236</v>
      </c>
      <c r="E35" s="15">
        <f>E33-E34</f>
        <v>-4.5445074692830829</v>
      </c>
      <c r="G35" s="15">
        <f t="shared" ref="G35" si="5">G33-G34</f>
        <v>-4.3874065701624207</v>
      </c>
      <c r="I35" s="15">
        <f t="shared" ref="I35" si="6">I33-I34</f>
        <v>-4.3046597284048467</v>
      </c>
      <c r="K35" s="15">
        <f>K33-K34</f>
        <v>-8.0747157078339509</v>
      </c>
    </row>
    <row r="36" spans="3:11" x14ac:dyDescent="0.2">
      <c r="C36" s="95" t="s">
        <v>225</v>
      </c>
      <c r="E36" s="75">
        <f>E33/E34-1</f>
        <v>-0.37949303228657905</v>
      </c>
      <c r="G36" s="75">
        <f t="shared" ref="G36" si="7">G33/G34-1</f>
        <v>-0.36139496610512778</v>
      </c>
      <c r="I36" s="75">
        <f t="shared" ref="I36" si="8">I33/I34-1</f>
        <v>-0.35457902789788343</v>
      </c>
      <c r="K36" s="75">
        <f>K33/K34-1</f>
        <v>-0.35751840599812212</v>
      </c>
    </row>
    <row r="38" spans="3:11" x14ac:dyDescent="0.2">
      <c r="E38" s="15"/>
      <c r="G38" s="15"/>
      <c r="I38" s="15"/>
      <c r="K38" s="15"/>
    </row>
    <row r="39" spans="3:11" x14ac:dyDescent="0.2">
      <c r="E39" s="15"/>
      <c r="G39" s="15"/>
      <c r="I39" s="15"/>
      <c r="K39" s="15"/>
    </row>
    <row r="40" spans="3:11" x14ac:dyDescent="0.2">
      <c r="E40" s="15"/>
      <c r="G40" s="15"/>
      <c r="I40" s="15"/>
      <c r="K40" s="15"/>
    </row>
  </sheetData>
  <pageMargins left="0.70866141732283472" right="0.70866141732283472" top="0.51181102362204722" bottom="0.51181102362204722" header="0.51181102362204722" footer="0.35433070866141736"/>
  <pageSetup paperSize="9" orientation="landscape" horizontalDpi="4294967292" verticalDpi="4294967292" r:id="rId1"/>
  <headerFooter alignWithMargins="0">
    <oddFooter xml:space="preserve">&amp;L&amp;F : &amp;A&amp;CPrinted at &amp;T on &amp;D&amp;RCommercial in confidence © Analysys Mason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sheetPr>
  <dimension ref="A1:AG110"/>
  <sheetViews>
    <sheetView showGridLines="0" tabSelected="1" defaultGridColor="0" colorId="22" zoomScaleNormal="100" workbookViewId="0">
      <pane xSplit="4" ySplit="4" topLeftCell="E5" activePane="bottomRight" state="frozen"/>
      <selection pane="topRight" activeCell="E1" sqref="E1"/>
      <selection pane="bottomLeft" activeCell="A5" sqref="A5"/>
      <selection pane="bottomRight" activeCell="F112" sqref="F112"/>
    </sheetView>
  </sheetViews>
  <sheetFormatPr defaultColWidth="12.75" defaultRowHeight="11.4" outlineLevelRow="1" outlineLevelCol="1" x14ac:dyDescent="0.2"/>
  <cols>
    <col min="1" max="1" width="6.75" customWidth="1"/>
    <col min="2" max="2" width="12.75" customWidth="1"/>
    <col min="3" max="3" width="51" customWidth="1"/>
    <col min="4" max="4" width="0.875" customWidth="1"/>
    <col min="5" max="6" width="29.125" customWidth="1" outlineLevel="1"/>
    <col min="7" max="7" width="29.625" customWidth="1" outlineLevel="1"/>
    <col min="8" max="8" width="2.25" style="41" customWidth="1"/>
    <col min="9" max="18" width="29.625" customWidth="1" outlineLevel="1"/>
    <col min="19" max="19" width="1.625" style="41" customWidth="1"/>
    <col min="20" max="29" width="29.625" style="41" customWidth="1" outlineLevel="1"/>
    <col min="30" max="30" width="0.875" style="41" customWidth="1"/>
    <col min="31" max="33" width="29.625" customWidth="1" outlineLevel="1"/>
  </cols>
  <sheetData>
    <row r="1" spans="1:33" s="67" customFormat="1" ht="33.75" customHeight="1" x14ac:dyDescent="0.2">
      <c r="A1" s="67" t="s">
        <v>99</v>
      </c>
      <c r="C1" s="74" t="s">
        <v>241</v>
      </c>
    </row>
    <row r="3" spans="1:33" s="41" customFormat="1" ht="12" x14ac:dyDescent="0.2">
      <c r="E3" s="127" t="s">
        <v>128</v>
      </c>
      <c r="F3" s="127"/>
      <c r="G3" s="127"/>
      <c r="I3" s="126" t="s">
        <v>188</v>
      </c>
      <c r="J3" s="126"/>
      <c r="K3" s="126"/>
      <c r="L3" s="126"/>
      <c r="M3" s="126"/>
      <c r="N3" s="126"/>
      <c r="O3" s="126"/>
      <c r="P3" s="126"/>
      <c r="Q3" s="126"/>
      <c r="R3" s="126"/>
      <c r="T3" s="128" t="s">
        <v>189</v>
      </c>
      <c r="U3" s="128"/>
      <c r="V3" s="128"/>
      <c r="W3" s="128"/>
      <c r="X3" s="128"/>
      <c r="Y3" s="128"/>
      <c r="Z3" s="128"/>
      <c r="AA3" s="128"/>
      <c r="AB3" s="128"/>
      <c r="AC3" s="128"/>
      <c r="AE3" s="125" t="s">
        <v>127</v>
      </c>
      <c r="AF3" s="125"/>
      <c r="AG3" s="125"/>
    </row>
    <row r="4" spans="1:33" ht="12" x14ac:dyDescent="0.2">
      <c r="C4" s="41" t="s">
        <v>238</v>
      </c>
      <c r="D4" s="41"/>
      <c r="E4" s="122" t="s">
        <v>136</v>
      </c>
      <c r="F4" s="122" t="s">
        <v>134</v>
      </c>
      <c r="G4" s="122" t="s">
        <v>135</v>
      </c>
      <c r="H4" s="66"/>
      <c r="I4" s="122" t="s">
        <v>137</v>
      </c>
      <c r="J4" s="122" t="s">
        <v>138</v>
      </c>
      <c r="K4" s="122" t="s">
        <v>139</v>
      </c>
      <c r="L4" s="122" t="s">
        <v>140</v>
      </c>
      <c r="M4" s="122" t="s">
        <v>141</v>
      </c>
      <c r="N4" s="122" t="s">
        <v>142</v>
      </c>
      <c r="O4" s="122" t="s">
        <v>143</v>
      </c>
      <c r="P4" s="122" t="s">
        <v>144</v>
      </c>
      <c r="Q4" s="122" t="s">
        <v>145</v>
      </c>
      <c r="R4" s="122" t="s">
        <v>146</v>
      </c>
      <c r="S4" s="66"/>
      <c r="T4" s="122" t="s">
        <v>137</v>
      </c>
      <c r="U4" s="122" t="s">
        <v>138</v>
      </c>
      <c r="V4" s="122" t="s">
        <v>139</v>
      </c>
      <c r="W4" s="122" t="s">
        <v>140</v>
      </c>
      <c r="X4" s="122" t="s">
        <v>141</v>
      </c>
      <c r="Y4" s="122" t="s">
        <v>142</v>
      </c>
      <c r="Z4" s="122" t="s">
        <v>143</v>
      </c>
      <c r="AA4" s="122" t="s">
        <v>144</v>
      </c>
      <c r="AB4" s="122" t="s">
        <v>145</v>
      </c>
      <c r="AC4" s="122" t="s">
        <v>146</v>
      </c>
      <c r="AD4" s="66"/>
      <c r="AE4" s="122" t="s">
        <v>130</v>
      </c>
      <c r="AF4" s="122" t="s">
        <v>131</v>
      </c>
      <c r="AG4" s="122" t="s">
        <v>132</v>
      </c>
    </row>
    <row r="5" spans="1:33" s="41" customFormat="1" x14ac:dyDescent="0.2"/>
    <row r="6" spans="1:33" s="41" customFormat="1" ht="12" x14ac:dyDescent="0.2">
      <c r="C6" s="59" t="s">
        <v>263</v>
      </c>
      <c r="D6" s="59"/>
      <c r="E6" s="59"/>
      <c r="F6" s="59"/>
      <c r="G6" s="59"/>
      <c r="I6" s="59"/>
      <c r="J6" s="59"/>
      <c r="K6" s="59"/>
      <c r="L6" s="59"/>
      <c r="M6" s="59"/>
      <c r="N6" s="59"/>
      <c r="O6" s="59"/>
      <c r="P6" s="59"/>
      <c r="Q6" s="59"/>
      <c r="R6" s="59"/>
      <c r="T6" s="59"/>
      <c r="U6" s="59"/>
      <c r="V6" s="59"/>
      <c r="W6" s="59"/>
      <c r="X6" s="59"/>
      <c r="Y6" s="59"/>
      <c r="Z6" s="59"/>
      <c r="AA6" s="59"/>
      <c r="AB6" s="59"/>
      <c r="AC6" s="59"/>
      <c r="AE6" s="59"/>
      <c r="AF6" s="59"/>
      <c r="AG6" s="59"/>
    </row>
    <row r="7" spans="1:33" s="41" customFormat="1" outlineLevel="1" x14ac:dyDescent="0.2"/>
    <row r="8" spans="1:33" s="41" customFormat="1" outlineLevel="1" x14ac:dyDescent="0.2">
      <c r="C8" s="41" t="s">
        <v>242</v>
      </c>
      <c r="E8" s="94" t="s">
        <v>151</v>
      </c>
      <c r="F8" s="94" t="s">
        <v>151</v>
      </c>
      <c r="G8" s="94" t="s">
        <v>151</v>
      </c>
      <c r="I8" s="94" t="s">
        <v>152</v>
      </c>
      <c r="J8" s="94" t="s">
        <v>152</v>
      </c>
      <c r="K8" s="94" t="s">
        <v>152</v>
      </c>
      <c r="L8" s="94" t="s">
        <v>152</v>
      </c>
      <c r="M8" s="94" t="s">
        <v>152</v>
      </c>
      <c r="N8" s="94" t="s">
        <v>152</v>
      </c>
      <c r="O8" s="94" t="s">
        <v>152</v>
      </c>
      <c r="P8" s="94" t="s">
        <v>152</v>
      </c>
      <c r="Q8" s="94" t="s">
        <v>152</v>
      </c>
      <c r="R8" s="94" t="s">
        <v>152</v>
      </c>
      <c r="T8" s="94" t="s">
        <v>152</v>
      </c>
      <c r="U8" s="94" t="s">
        <v>152</v>
      </c>
      <c r="V8" s="94" t="s">
        <v>152</v>
      </c>
      <c r="W8" s="94" t="s">
        <v>152</v>
      </c>
      <c r="X8" s="94" t="s">
        <v>152</v>
      </c>
      <c r="Y8" s="94" t="s">
        <v>152</v>
      </c>
      <c r="Z8" s="94" t="s">
        <v>152</v>
      </c>
      <c r="AA8" s="94" t="s">
        <v>152</v>
      </c>
      <c r="AB8" s="94" t="s">
        <v>152</v>
      </c>
      <c r="AC8" s="94" t="s">
        <v>152</v>
      </c>
      <c r="AE8" s="94" t="s">
        <v>150</v>
      </c>
      <c r="AF8" s="94" t="s">
        <v>150</v>
      </c>
      <c r="AG8" s="94" t="s">
        <v>150</v>
      </c>
    </row>
    <row r="9" spans="1:33" s="41" customFormat="1" outlineLevel="1" x14ac:dyDescent="0.2">
      <c r="C9" s="41" t="s">
        <v>148</v>
      </c>
      <c r="E9" s="94" t="s">
        <v>177</v>
      </c>
      <c r="F9" s="94" t="s">
        <v>178</v>
      </c>
      <c r="G9" s="94" t="s">
        <v>179</v>
      </c>
      <c r="I9" s="94" t="s">
        <v>180</v>
      </c>
      <c r="J9" s="94" t="s">
        <v>182</v>
      </c>
      <c r="K9" s="94" t="s">
        <v>181</v>
      </c>
      <c r="L9" s="94" t="s">
        <v>183</v>
      </c>
      <c r="M9" s="94" t="s">
        <v>184</v>
      </c>
      <c r="N9" s="94" t="s">
        <v>180</v>
      </c>
      <c r="O9" s="94" t="s">
        <v>182</v>
      </c>
      <c r="P9" s="94" t="s">
        <v>181</v>
      </c>
      <c r="Q9" s="94" t="s">
        <v>183</v>
      </c>
      <c r="R9" s="94" t="s">
        <v>184</v>
      </c>
      <c r="T9" s="94" t="s">
        <v>180</v>
      </c>
      <c r="U9" s="94" t="s">
        <v>182</v>
      </c>
      <c r="V9" s="94" t="s">
        <v>181</v>
      </c>
      <c r="W9" s="94" t="s">
        <v>183</v>
      </c>
      <c r="X9" s="94" t="s">
        <v>184</v>
      </c>
      <c r="Y9" s="94" t="s">
        <v>180</v>
      </c>
      <c r="Z9" s="94" t="s">
        <v>182</v>
      </c>
      <c r="AA9" s="94" t="s">
        <v>181</v>
      </c>
      <c r="AB9" s="94" t="s">
        <v>183</v>
      </c>
      <c r="AC9" s="94" t="s">
        <v>184</v>
      </c>
      <c r="AE9" s="94" t="s">
        <v>213</v>
      </c>
      <c r="AF9" s="94" t="s">
        <v>214</v>
      </c>
      <c r="AG9" s="94" t="s">
        <v>215</v>
      </c>
    </row>
    <row r="10" spans="1:33" s="41" customFormat="1" outlineLevel="1" x14ac:dyDescent="0.2">
      <c r="C10" s="41" t="s">
        <v>243</v>
      </c>
      <c r="E10" s="94" t="s">
        <v>204</v>
      </c>
      <c r="F10" s="94" t="s">
        <v>203</v>
      </c>
      <c r="G10" s="94" t="s">
        <v>203</v>
      </c>
      <c r="I10" s="94" t="s">
        <v>133</v>
      </c>
      <c r="J10" s="94" t="s">
        <v>133</v>
      </c>
      <c r="K10" s="94" t="s">
        <v>193</v>
      </c>
      <c r="L10" s="94" t="s">
        <v>193</v>
      </c>
      <c r="M10" s="94" t="s">
        <v>193</v>
      </c>
      <c r="N10" s="94" t="s">
        <v>133</v>
      </c>
      <c r="O10" s="94" t="s">
        <v>133</v>
      </c>
      <c r="P10" s="94" t="s">
        <v>193</v>
      </c>
      <c r="Q10" s="94" t="s">
        <v>193</v>
      </c>
      <c r="R10" s="94" t="s">
        <v>193</v>
      </c>
      <c r="T10" s="94" t="s">
        <v>133</v>
      </c>
      <c r="U10" s="94" t="s">
        <v>133</v>
      </c>
      <c r="V10" s="94" t="s">
        <v>195</v>
      </c>
      <c r="W10" s="94" t="s">
        <v>195</v>
      </c>
      <c r="X10" s="94" t="s">
        <v>195</v>
      </c>
      <c r="Y10" s="94" t="s">
        <v>133</v>
      </c>
      <c r="Z10" s="94" t="s">
        <v>133</v>
      </c>
      <c r="AA10" s="94" t="s">
        <v>195</v>
      </c>
      <c r="AB10" s="94" t="s">
        <v>195</v>
      </c>
      <c r="AC10" s="94" t="s">
        <v>195</v>
      </c>
      <c r="AE10" s="94" t="s">
        <v>133</v>
      </c>
      <c r="AF10" s="94" t="s">
        <v>133</v>
      </c>
      <c r="AG10" s="94" t="s">
        <v>190</v>
      </c>
    </row>
    <row r="11" spans="1:33" s="41" customFormat="1" outlineLevel="1" x14ac:dyDescent="0.2">
      <c r="C11" s="41" t="s">
        <v>244</v>
      </c>
      <c r="E11" s="94" t="s">
        <v>133</v>
      </c>
      <c r="F11" s="94" t="s">
        <v>133</v>
      </c>
      <c r="G11" s="94" t="s">
        <v>133</v>
      </c>
      <c r="I11" s="94" t="s">
        <v>133</v>
      </c>
      <c r="J11" s="94" t="s">
        <v>133</v>
      </c>
      <c r="K11" s="94" t="s">
        <v>133</v>
      </c>
      <c r="L11" s="94" t="s">
        <v>133</v>
      </c>
      <c r="M11" s="94" t="s">
        <v>133</v>
      </c>
      <c r="N11" s="94" t="s">
        <v>133</v>
      </c>
      <c r="O11" s="94" t="s">
        <v>133</v>
      </c>
      <c r="P11" s="94" t="s">
        <v>133</v>
      </c>
      <c r="Q11" s="94" t="s">
        <v>133</v>
      </c>
      <c r="R11" s="94" t="s">
        <v>133</v>
      </c>
      <c r="T11" s="94" t="s">
        <v>133</v>
      </c>
      <c r="U11" s="94" t="s">
        <v>133</v>
      </c>
      <c r="V11" s="94" t="s">
        <v>133</v>
      </c>
      <c r="W11" s="94" t="s">
        <v>133</v>
      </c>
      <c r="X11" s="94" t="s">
        <v>133</v>
      </c>
      <c r="Y11" s="94" t="s">
        <v>133</v>
      </c>
      <c r="Z11" s="94" t="s">
        <v>133</v>
      </c>
      <c r="AA11" s="94" t="s">
        <v>133</v>
      </c>
      <c r="AB11" s="94" t="s">
        <v>133</v>
      </c>
      <c r="AC11" s="94" t="s">
        <v>133</v>
      </c>
      <c r="AE11" s="94" t="s">
        <v>133</v>
      </c>
      <c r="AF11" s="94" t="s">
        <v>133</v>
      </c>
      <c r="AG11" s="94" t="s">
        <v>133</v>
      </c>
    </row>
    <row r="12" spans="1:33" s="41" customFormat="1" outlineLevel="1" x14ac:dyDescent="0.2">
      <c r="C12" s="41" t="s">
        <v>245</v>
      </c>
      <c r="E12" s="94" t="s">
        <v>162</v>
      </c>
      <c r="F12" s="94" t="s">
        <v>162</v>
      </c>
      <c r="G12" s="94" t="s">
        <v>162</v>
      </c>
      <c r="I12" s="94" t="s">
        <v>163</v>
      </c>
      <c r="J12" s="94" t="s">
        <v>163</v>
      </c>
      <c r="K12" s="94" t="s">
        <v>163</v>
      </c>
      <c r="L12" s="94" t="s">
        <v>163</v>
      </c>
      <c r="M12" s="94" t="s">
        <v>163</v>
      </c>
      <c r="N12" s="94" t="s">
        <v>163</v>
      </c>
      <c r="O12" s="94" t="s">
        <v>163</v>
      </c>
      <c r="P12" s="94" t="s">
        <v>163</v>
      </c>
      <c r="Q12" s="94" t="s">
        <v>163</v>
      </c>
      <c r="R12" s="94" t="s">
        <v>163</v>
      </c>
      <c r="T12" s="94" t="s">
        <v>163</v>
      </c>
      <c r="U12" s="94" t="s">
        <v>163</v>
      </c>
      <c r="V12" s="94" t="s">
        <v>163</v>
      </c>
      <c r="W12" s="94" t="s">
        <v>163</v>
      </c>
      <c r="X12" s="94" t="s">
        <v>163</v>
      </c>
      <c r="Y12" s="94" t="s">
        <v>163</v>
      </c>
      <c r="Z12" s="94" t="s">
        <v>163</v>
      </c>
      <c r="AA12" s="94" t="s">
        <v>163</v>
      </c>
      <c r="AB12" s="94" t="s">
        <v>163</v>
      </c>
      <c r="AC12" s="94" t="s">
        <v>163</v>
      </c>
      <c r="AE12" s="94" t="s">
        <v>164</v>
      </c>
      <c r="AF12" s="94" t="s">
        <v>164</v>
      </c>
      <c r="AG12" s="94" t="s">
        <v>164</v>
      </c>
    </row>
    <row r="13" spans="1:33" s="41" customFormat="1" outlineLevel="1" x14ac:dyDescent="0.2">
      <c r="C13" s="41" t="s">
        <v>227</v>
      </c>
      <c r="E13" s="94" t="s">
        <v>133</v>
      </c>
      <c r="F13" s="94" t="s">
        <v>133</v>
      </c>
      <c r="G13" s="94" t="s">
        <v>133</v>
      </c>
      <c r="I13" s="94" t="s">
        <v>133</v>
      </c>
      <c r="J13" s="94" t="s">
        <v>133</v>
      </c>
      <c r="K13" s="94" t="s">
        <v>133</v>
      </c>
      <c r="L13" s="94" t="s">
        <v>133</v>
      </c>
      <c r="M13" s="94" t="s">
        <v>133</v>
      </c>
      <c r="N13" s="94" t="s">
        <v>133</v>
      </c>
      <c r="O13" s="94" t="s">
        <v>133</v>
      </c>
      <c r="P13" s="94" t="s">
        <v>133</v>
      </c>
      <c r="Q13" s="94" t="s">
        <v>133</v>
      </c>
      <c r="R13" s="94" t="s">
        <v>133</v>
      </c>
      <c r="T13" s="94" t="s">
        <v>133</v>
      </c>
      <c r="U13" s="94" t="s">
        <v>133</v>
      </c>
      <c r="V13" s="94" t="s">
        <v>133</v>
      </c>
      <c r="W13" s="94" t="s">
        <v>133</v>
      </c>
      <c r="X13" s="94" t="s">
        <v>133</v>
      </c>
      <c r="Y13" s="94" t="s">
        <v>133</v>
      </c>
      <c r="Z13" s="94" t="s">
        <v>133</v>
      </c>
      <c r="AA13" s="94" t="s">
        <v>133</v>
      </c>
      <c r="AB13" s="94" t="s">
        <v>133</v>
      </c>
      <c r="AC13" s="94" t="s">
        <v>133</v>
      </c>
      <c r="AE13" s="94" t="s">
        <v>133</v>
      </c>
      <c r="AF13" s="94" t="s">
        <v>133</v>
      </c>
      <c r="AG13" s="94" t="s">
        <v>133</v>
      </c>
    </row>
    <row r="14" spans="1:33" s="41" customFormat="1" outlineLevel="1" x14ac:dyDescent="0.2">
      <c r="C14" s="41" t="s">
        <v>246</v>
      </c>
      <c r="E14" s="94" t="s">
        <v>133</v>
      </c>
      <c r="F14" s="94" t="s">
        <v>176</v>
      </c>
      <c r="G14" s="94" t="s">
        <v>176</v>
      </c>
      <c r="I14" s="94" t="s">
        <v>133</v>
      </c>
      <c r="J14" s="94" t="s">
        <v>133</v>
      </c>
      <c r="K14" s="94" t="s">
        <v>133</v>
      </c>
      <c r="L14" s="94" t="s">
        <v>133</v>
      </c>
      <c r="M14" s="94" t="s">
        <v>133</v>
      </c>
      <c r="N14" s="94" t="s">
        <v>171</v>
      </c>
      <c r="O14" s="94" t="s">
        <v>171</v>
      </c>
      <c r="P14" s="94" t="s">
        <v>172</v>
      </c>
      <c r="Q14" s="94" t="s">
        <v>172</v>
      </c>
      <c r="R14" s="94" t="s">
        <v>172</v>
      </c>
      <c r="T14" s="94" t="s">
        <v>133</v>
      </c>
      <c r="U14" s="94" t="s">
        <v>133</v>
      </c>
      <c r="V14" s="94" t="s">
        <v>133</v>
      </c>
      <c r="W14" s="94" t="s">
        <v>133</v>
      </c>
      <c r="X14" s="94" t="s">
        <v>133</v>
      </c>
      <c r="Y14" s="94" t="s">
        <v>171</v>
      </c>
      <c r="Z14" s="94" t="s">
        <v>171</v>
      </c>
      <c r="AA14" s="94" t="s">
        <v>172</v>
      </c>
      <c r="AB14" s="94" t="s">
        <v>172</v>
      </c>
      <c r="AC14" s="94" t="s">
        <v>172</v>
      </c>
      <c r="AE14" s="94" t="s">
        <v>173</v>
      </c>
      <c r="AF14" s="94" t="s">
        <v>174</v>
      </c>
      <c r="AG14" s="94" t="s">
        <v>174</v>
      </c>
    </row>
    <row r="15" spans="1:33" s="41" customFormat="1" outlineLevel="1" collapsed="1" x14ac:dyDescent="0.2">
      <c r="C15" s="41" t="s">
        <v>247</v>
      </c>
      <c r="E15" s="94" t="s">
        <v>133</v>
      </c>
      <c r="F15" s="94" t="s">
        <v>133</v>
      </c>
      <c r="G15" s="94" t="s">
        <v>133</v>
      </c>
      <c r="I15" s="94" t="s">
        <v>133</v>
      </c>
      <c r="J15" s="94" t="s">
        <v>133</v>
      </c>
      <c r="K15" s="94" t="s">
        <v>133</v>
      </c>
      <c r="L15" s="94" t="s">
        <v>133</v>
      </c>
      <c r="M15" s="94" t="s">
        <v>133</v>
      </c>
      <c r="N15" s="94" t="s">
        <v>133</v>
      </c>
      <c r="O15" s="94" t="s">
        <v>133</v>
      </c>
      <c r="P15" s="94" t="s">
        <v>133</v>
      </c>
      <c r="Q15" s="94" t="s">
        <v>133</v>
      </c>
      <c r="R15" s="94" t="s">
        <v>133</v>
      </c>
      <c r="T15" s="94" t="s">
        <v>133</v>
      </c>
      <c r="U15" s="94" t="s">
        <v>133</v>
      </c>
      <c r="V15" s="94" t="s">
        <v>133</v>
      </c>
      <c r="W15" s="94" t="s">
        <v>133</v>
      </c>
      <c r="X15" s="94" t="s">
        <v>133</v>
      </c>
      <c r="Y15" s="94" t="s">
        <v>133</v>
      </c>
      <c r="Z15" s="94" t="s">
        <v>133</v>
      </c>
      <c r="AA15" s="94" t="s">
        <v>133</v>
      </c>
      <c r="AB15" s="94" t="s">
        <v>133</v>
      </c>
      <c r="AC15" s="94" t="s">
        <v>133</v>
      </c>
      <c r="AE15" s="94" t="s">
        <v>133</v>
      </c>
      <c r="AF15" s="94" t="s">
        <v>133</v>
      </c>
      <c r="AG15" s="94" t="s">
        <v>175</v>
      </c>
    </row>
    <row r="16" spans="1:33" s="41" customFormat="1" x14ac:dyDescent="0.2"/>
    <row r="17" spans="3:33" s="41" customFormat="1" ht="12" x14ac:dyDescent="0.2">
      <c r="C17" s="59" t="s">
        <v>248</v>
      </c>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row>
    <row r="18" spans="3:33" s="41" customFormat="1" x14ac:dyDescent="0.2"/>
    <row r="19" spans="3:33" x14ac:dyDescent="0.2">
      <c r="C19" s="41" t="s">
        <v>249</v>
      </c>
      <c r="D19" s="41"/>
      <c r="E19" s="82">
        <v>42.99</v>
      </c>
      <c r="F19" s="82">
        <v>56.79</v>
      </c>
      <c r="G19" s="82">
        <v>67.239999999999995</v>
      </c>
      <c r="H19" s="15"/>
      <c r="I19" s="111">
        <f>I22-I20</f>
        <v>35.5</v>
      </c>
      <c r="J19" s="111">
        <f t="shared" ref="J19:R19" si="0">J22-J20</f>
        <v>45.5</v>
      </c>
      <c r="K19" s="111">
        <f t="shared" si="0"/>
        <v>55.5</v>
      </c>
      <c r="L19" s="111">
        <f t="shared" si="0"/>
        <v>65.5</v>
      </c>
      <c r="M19" s="111">
        <f t="shared" si="0"/>
        <v>85.5</v>
      </c>
      <c r="N19" s="111">
        <f t="shared" si="0"/>
        <v>43.5</v>
      </c>
      <c r="O19" s="111">
        <f t="shared" si="0"/>
        <v>53.5</v>
      </c>
      <c r="P19" s="111">
        <f t="shared" si="0"/>
        <v>63.5</v>
      </c>
      <c r="Q19" s="111">
        <f t="shared" si="0"/>
        <v>73.5</v>
      </c>
      <c r="R19" s="111">
        <f t="shared" si="0"/>
        <v>93.5</v>
      </c>
      <c r="T19" s="111">
        <f>T22-T20</f>
        <v>35.5</v>
      </c>
      <c r="U19" s="111">
        <f t="shared" ref="U19:AC19" si="1">U22-U20</f>
        <v>45.5</v>
      </c>
      <c r="V19" s="111">
        <f t="shared" si="1"/>
        <v>55.5</v>
      </c>
      <c r="W19" s="111">
        <f t="shared" si="1"/>
        <v>65.5</v>
      </c>
      <c r="X19" s="111">
        <f t="shared" si="1"/>
        <v>85.5</v>
      </c>
      <c r="Y19" s="111">
        <f t="shared" si="1"/>
        <v>43.5</v>
      </c>
      <c r="Z19" s="111">
        <f t="shared" si="1"/>
        <v>53.5</v>
      </c>
      <c r="AA19" s="111">
        <f t="shared" si="1"/>
        <v>63.5</v>
      </c>
      <c r="AB19" s="111">
        <f t="shared" si="1"/>
        <v>73.5</v>
      </c>
      <c r="AC19" s="111">
        <f t="shared" si="1"/>
        <v>93.5</v>
      </c>
      <c r="AE19" s="111">
        <f t="shared" ref="AE19" si="2">AE22-AE20</f>
        <v>39.9</v>
      </c>
      <c r="AF19" s="111">
        <f t="shared" ref="AF19" si="3">AF22-AF20</f>
        <v>49.9</v>
      </c>
      <c r="AG19" s="111">
        <f t="shared" ref="AG19" si="4">AG22-AG20</f>
        <v>59.900000000000006</v>
      </c>
    </row>
    <row r="20" spans="3:33" s="41" customFormat="1" x14ac:dyDescent="0.2">
      <c r="C20" s="95" t="s">
        <v>250</v>
      </c>
      <c r="E20" s="15">
        <f>INDEX('Values and minus percentages'!$D$6:$D$62,MATCH('Wholesale tariffs - multiplay'!E21,'Values and minus percentages'!$C$6:$C$62,0))</f>
        <v>8.6999999999999993</v>
      </c>
      <c r="F20" s="15">
        <f>INDEX('Values and minus percentages'!$D$6:$D$62,MATCH('Wholesale tariffs - multiplay'!F21,'Values and minus percentages'!$C$6:$C$62,0))</f>
        <v>8.6999999999999993</v>
      </c>
      <c r="G20" s="15">
        <f>INDEX('Values and minus percentages'!$D$6:$D$62,MATCH('Wholesale tariffs - multiplay'!G21,'Values and minus percentages'!$C$6:$C$62,0))</f>
        <v>8.6999999999999993</v>
      </c>
      <c r="H20" s="15"/>
      <c r="I20" s="15">
        <f>INDEX('Values and minus percentages'!$D$6:$D$62,MATCH('Wholesale tariffs - multiplay'!I21,'Values and minus percentages'!$C$6:$C$62,0))</f>
        <v>7.45</v>
      </c>
      <c r="J20" s="15">
        <f>INDEX('Values and minus percentages'!$D$6:$D$62,MATCH('Wholesale tariffs - multiplay'!J21,'Values and minus percentages'!$C$6:$C$62,0))</f>
        <v>7.45</v>
      </c>
      <c r="K20" s="15">
        <f>INDEX('Values and minus percentages'!$D$6:$D$62,MATCH('Wholesale tariffs - multiplay'!K21,'Values and minus percentages'!$C$6:$C$62,0))</f>
        <v>7.45</v>
      </c>
      <c r="L20" s="15">
        <f>INDEX('Values and minus percentages'!$D$6:$D$62,MATCH('Wholesale tariffs - multiplay'!L21,'Values and minus percentages'!$C$6:$C$62,0))</f>
        <v>7.45</v>
      </c>
      <c r="M20" s="15">
        <f>INDEX('Values and minus percentages'!$D$6:$D$62,MATCH('Wholesale tariffs - multiplay'!M21,'Values and minus percentages'!$C$6:$C$62,0))</f>
        <v>7.45</v>
      </c>
      <c r="N20" s="15">
        <f>INDEX('Values and minus percentages'!$D$6:$D$62,MATCH('Wholesale tariffs - multiplay'!N21,'Values and minus percentages'!$C$6:$C$62,0))</f>
        <v>7.45</v>
      </c>
      <c r="O20" s="15">
        <f>INDEX('Values and minus percentages'!$D$6:$D$62,MATCH('Wholesale tariffs - multiplay'!O21,'Values and minus percentages'!$C$6:$C$62,0))</f>
        <v>7.45</v>
      </c>
      <c r="P20" s="15">
        <f>INDEX('Values and minus percentages'!$D$6:$D$62,MATCH('Wholesale tariffs - multiplay'!P21,'Values and minus percentages'!$C$6:$C$62,0))</f>
        <v>7.45</v>
      </c>
      <c r="Q20" s="15">
        <f>INDEX('Values and minus percentages'!$D$6:$D$62,MATCH('Wholesale tariffs - multiplay'!Q21,'Values and minus percentages'!$C$6:$C$62,0))</f>
        <v>7.45</v>
      </c>
      <c r="R20" s="15">
        <f>INDEX('Values and minus percentages'!$D$6:$D$62,MATCH('Wholesale tariffs - multiplay'!R21,'Values and minus percentages'!$C$6:$C$62,0))</f>
        <v>7.45</v>
      </c>
      <c r="S20" s="15"/>
      <c r="T20" s="15">
        <f>INDEX('Values and minus percentages'!$D$6:$D$62,MATCH('Wholesale tariffs - multiplay'!T21,'Values and minus percentages'!$C$6:$C$62,0))</f>
        <v>7.45</v>
      </c>
      <c r="U20" s="15">
        <f>INDEX('Values and minus percentages'!$D$6:$D$62,MATCH('Wholesale tariffs - multiplay'!U21,'Values and minus percentages'!$C$6:$C$62,0))</f>
        <v>7.45</v>
      </c>
      <c r="V20" s="15">
        <f>INDEX('Values and minus percentages'!$D$6:$D$62,MATCH('Wholesale tariffs - multiplay'!V21,'Values and minus percentages'!$C$6:$C$62,0))</f>
        <v>7.45</v>
      </c>
      <c r="W20" s="15">
        <f>INDEX('Values and minus percentages'!$D$6:$D$62,MATCH('Wholesale tariffs - multiplay'!W21,'Values and minus percentages'!$C$6:$C$62,0))</f>
        <v>7.45</v>
      </c>
      <c r="X20" s="15">
        <f>INDEX('Values and minus percentages'!$D$6:$D$62,MATCH('Wholesale tariffs - multiplay'!X21,'Values and minus percentages'!$C$6:$C$62,0))</f>
        <v>7.45</v>
      </c>
      <c r="Y20" s="15">
        <f>INDEX('Values and minus percentages'!$D$6:$D$62,MATCH('Wholesale tariffs - multiplay'!Y21,'Values and minus percentages'!$C$6:$C$62,0))</f>
        <v>7.45</v>
      </c>
      <c r="Z20" s="15">
        <f>INDEX('Values and minus percentages'!$D$6:$D$62,MATCH('Wholesale tariffs - multiplay'!Z21,'Values and minus percentages'!$C$6:$C$62,0))</f>
        <v>7.45</v>
      </c>
      <c r="AA20" s="15">
        <f>INDEX('Values and minus percentages'!$D$6:$D$62,MATCH('Wholesale tariffs - multiplay'!AA21,'Values and minus percentages'!$C$6:$C$62,0))</f>
        <v>7.45</v>
      </c>
      <c r="AB20" s="15">
        <f>INDEX('Values and minus percentages'!$D$6:$D$62,MATCH('Wholesale tariffs - multiplay'!AB21,'Values and minus percentages'!$C$6:$C$62,0))</f>
        <v>7.45</v>
      </c>
      <c r="AC20" s="15">
        <f>INDEX('Values and minus percentages'!$D$6:$D$62,MATCH('Wholesale tariffs - multiplay'!AC21,'Values and minus percentages'!$C$6:$C$62,0))</f>
        <v>7.45</v>
      </c>
      <c r="AD20" s="15"/>
      <c r="AE20" s="15">
        <f>INDEX('Values and minus percentages'!$D$6:$D$62,MATCH('Wholesale tariffs - multiplay'!AE21,'Values and minus percentages'!$C$6:$C$62,0))</f>
        <v>10</v>
      </c>
      <c r="AF20" s="15">
        <f>INDEX('Values and minus percentages'!$D$6:$D$62,MATCH('Wholesale tariffs - multiplay'!AF21,'Values and minus percentages'!$C$6:$C$62,0))</f>
        <v>10</v>
      </c>
      <c r="AG20" s="15">
        <f>INDEX('Values and minus percentages'!$D$6:$D$62,MATCH('Wholesale tariffs - multiplay'!AG21,'Values and minus percentages'!$C$6:$C$62,0))</f>
        <v>10</v>
      </c>
    </row>
    <row r="21" spans="3:33" s="41" customFormat="1" outlineLevel="1" x14ac:dyDescent="0.2">
      <c r="C21" s="108" t="s">
        <v>227</v>
      </c>
      <c r="E21" s="94" t="s">
        <v>154</v>
      </c>
      <c r="F21" s="94" t="s">
        <v>154</v>
      </c>
      <c r="G21" s="94" t="s">
        <v>154</v>
      </c>
      <c r="I21" s="94" t="s">
        <v>155</v>
      </c>
      <c r="J21" s="94" t="s">
        <v>155</v>
      </c>
      <c r="K21" s="94" t="s">
        <v>155</v>
      </c>
      <c r="L21" s="94" t="s">
        <v>155</v>
      </c>
      <c r="M21" s="94" t="s">
        <v>155</v>
      </c>
      <c r="N21" s="94" t="s">
        <v>155</v>
      </c>
      <c r="O21" s="94" t="s">
        <v>155</v>
      </c>
      <c r="P21" s="94" t="s">
        <v>155</v>
      </c>
      <c r="Q21" s="94" t="s">
        <v>155</v>
      </c>
      <c r="R21" s="94" t="s">
        <v>155</v>
      </c>
      <c r="T21" s="94" t="s">
        <v>155</v>
      </c>
      <c r="U21" s="94" t="s">
        <v>155</v>
      </c>
      <c r="V21" s="94" t="s">
        <v>155</v>
      </c>
      <c r="W21" s="94" t="s">
        <v>155</v>
      </c>
      <c r="X21" s="94" t="s">
        <v>155</v>
      </c>
      <c r="Y21" s="94" t="s">
        <v>155</v>
      </c>
      <c r="Z21" s="94" t="s">
        <v>155</v>
      </c>
      <c r="AA21" s="94" t="s">
        <v>155</v>
      </c>
      <c r="AB21" s="94" t="s">
        <v>155</v>
      </c>
      <c r="AC21" s="94" t="s">
        <v>155</v>
      </c>
      <c r="AE21" s="94" t="s">
        <v>156</v>
      </c>
      <c r="AF21" s="94" t="s">
        <v>156</v>
      </c>
      <c r="AG21" s="94" t="s">
        <v>156</v>
      </c>
    </row>
    <row r="22" spans="3:33" s="41" customFormat="1" x14ac:dyDescent="0.2">
      <c r="C22" s="41" t="s">
        <v>251</v>
      </c>
      <c r="E22" s="83">
        <f>E28+E20</f>
        <v>57.177499999999995</v>
      </c>
      <c r="F22" s="83">
        <f>F28+F20</f>
        <v>69.602499999999992</v>
      </c>
      <c r="G22" s="83">
        <f>G28+G20</f>
        <v>80.052499999999995</v>
      </c>
      <c r="H22" s="15"/>
      <c r="I22" s="82">
        <v>42.95</v>
      </c>
      <c r="J22" s="82">
        <v>52.95</v>
      </c>
      <c r="K22" s="82">
        <v>62.95</v>
      </c>
      <c r="L22" s="82">
        <v>72.95</v>
      </c>
      <c r="M22" s="82">
        <v>92.95</v>
      </c>
      <c r="N22" s="82">
        <v>50.95</v>
      </c>
      <c r="O22" s="82">
        <v>60.95</v>
      </c>
      <c r="P22" s="82">
        <v>70.95</v>
      </c>
      <c r="Q22" s="82">
        <v>80.95</v>
      </c>
      <c r="R22" s="82">
        <v>100.95</v>
      </c>
      <c r="S22" s="15"/>
      <c r="T22" s="82">
        <v>42.95</v>
      </c>
      <c r="U22" s="82">
        <v>52.95</v>
      </c>
      <c r="V22" s="82">
        <v>62.95</v>
      </c>
      <c r="W22" s="82">
        <v>72.95</v>
      </c>
      <c r="X22" s="82">
        <v>92.95</v>
      </c>
      <c r="Y22" s="82">
        <v>50.95</v>
      </c>
      <c r="Z22" s="82">
        <v>60.95</v>
      </c>
      <c r="AA22" s="82">
        <v>70.95</v>
      </c>
      <c r="AB22" s="82">
        <v>80.95</v>
      </c>
      <c r="AC22" s="82">
        <v>100.95</v>
      </c>
      <c r="AD22" s="15"/>
      <c r="AE22" s="82">
        <v>49.9</v>
      </c>
      <c r="AF22" s="82">
        <v>59.9</v>
      </c>
      <c r="AG22" s="82">
        <v>69.900000000000006</v>
      </c>
    </row>
    <row r="23" spans="3:33" s="41" customFormat="1" x14ac:dyDescent="0.2">
      <c r="C23" s="95" t="s">
        <v>252</v>
      </c>
      <c r="E23" s="83">
        <f>E22/(1+VAT.rate)</f>
        <v>47.254132231404952</v>
      </c>
      <c r="F23" s="83">
        <f>F22/(1+VAT.rate)</f>
        <v>57.522727272727266</v>
      </c>
      <c r="G23" s="83">
        <f>G22/(1+VAT.rate)</f>
        <v>66.159090909090907</v>
      </c>
      <c r="H23" s="15"/>
      <c r="I23" s="83">
        <f t="shared" ref="I23:R23" si="5">I22/(1+VAT.rate)</f>
        <v>35.495867768595048</v>
      </c>
      <c r="J23" s="83">
        <f t="shared" si="5"/>
        <v>43.760330578512402</v>
      </c>
      <c r="K23" s="83">
        <f t="shared" si="5"/>
        <v>52.024793388429757</v>
      </c>
      <c r="L23" s="83">
        <f t="shared" si="5"/>
        <v>60.289256198347111</v>
      </c>
      <c r="M23" s="83">
        <f t="shared" si="5"/>
        <v>76.818181818181827</v>
      </c>
      <c r="N23" s="83">
        <f t="shared" si="5"/>
        <v>42.107438016528931</v>
      </c>
      <c r="O23" s="83">
        <f t="shared" si="5"/>
        <v>50.371900826446286</v>
      </c>
      <c r="P23" s="83">
        <f t="shared" si="5"/>
        <v>58.63636363636364</v>
      </c>
      <c r="Q23" s="83">
        <f t="shared" si="5"/>
        <v>66.900826446281002</v>
      </c>
      <c r="R23" s="83">
        <f t="shared" si="5"/>
        <v>83.429752066115711</v>
      </c>
      <c r="S23" s="15"/>
      <c r="T23" s="83">
        <f t="shared" ref="T23:AC23" si="6">T22/(1+VAT.rate)</f>
        <v>35.495867768595048</v>
      </c>
      <c r="U23" s="83">
        <f t="shared" si="6"/>
        <v>43.760330578512402</v>
      </c>
      <c r="V23" s="83">
        <f t="shared" si="6"/>
        <v>52.024793388429757</v>
      </c>
      <c r="W23" s="83">
        <f t="shared" si="6"/>
        <v>60.289256198347111</v>
      </c>
      <c r="X23" s="83">
        <f t="shared" si="6"/>
        <v>76.818181818181827</v>
      </c>
      <c r="Y23" s="83">
        <f t="shared" si="6"/>
        <v>42.107438016528931</v>
      </c>
      <c r="Z23" s="83">
        <f t="shared" si="6"/>
        <v>50.371900826446286</v>
      </c>
      <c r="AA23" s="83">
        <f t="shared" si="6"/>
        <v>58.63636363636364</v>
      </c>
      <c r="AB23" s="83">
        <f t="shared" si="6"/>
        <v>66.900826446281002</v>
      </c>
      <c r="AC23" s="83">
        <f t="shared" si="6"/>
        <v>83.429752066115711</v>
      </c>
      <c r="AD23" s="15"/>
      <c r="AE23" s="83">
        <f>AE22/(1+VAT.rate)</f>
        <v>41.239669421487605</v>
      </c>
      <c r="AF23" s="83">
        <f>AF22/(1+VAT.rate)</f>
        <v>49.504132231404959</v>
      </c>
      <c r="AG23" s="83">
        <f>AG22/(1+VAT.rate)</f>
        <v>57.768595041322321</v>
      </c>
    </row>
    <row r="24" spans="3:33" s="41" customFormat="1" x14ac:dyDescent="0.2"/>
    <row r="25" spans="3:33" s="41" customFormat="1" x14ac:dyDescent="0.2">
      <c r="C25" s="41" t="s">
        <v>253</v>
      </c>
      <c r="E25" s="15">
        <f>INDEX('Values and minus percentages'!$F$6:$F$62,MATCH('Wholesale tariffs - multiplay'!E26,'Values and minus percentages'!$C$6:$C$62,0))</f>
        <v>5.4874999999999998</v>
      </c>
      <c r="F25" s="15">
        <f>INDEX('Values and minus percentages'!$F$6:$F$62,MATCH('Wholesale tariffs - multiplay'!F26,'Values and minus percentages'!$C$6:$C$62,0))</f>
        <v>4.1124999999999998</v>
      </c>
      <c r="G25" s="15">
        <f>INDEX('Values and minus percentages'!$F$6:$F$62,MATCH('Wholesale tariffs - multiplay'!G26,'Values and minus percentages'!$C$6:$C$62,0))</f>
        <v>4.1124999999999998</v>
      </c>
      <c r="H25" s="15"/>
      <c r="I25" s="15">
        <f>INDEX('Values and minus percentages'!$F$6:$F$62,MATCH('Wholesale tariffs - multiplay'!I26,'Values and minus percentages'!$C$6:$C$62,0))</f>
        <v>0</v>
      </c>
      <c r="J25" s="15">
        <f>INDEX('Values and minus percentages'!$F$6:$F$62,MATCH('Wholesale tariffs - multiplay'!J26,'Values and minus percentages'!$C$6:$C$62,0))</f>
        <v>0</v>
      </c>
      <c r="K25" s="15">
        <f>INDEX('Values and minus percentages'!$F$6:$F$62,MATCH('Wholesale tariffs - multiplay'!K26,'Values and minus percentages'!$C$6:$C$62,0))</f>
        <v>0.5</v>
      </c>
      <c r="L25" s="15">
        <f>INDEX('Values and minus percentages'!$F$6:$F$62,MATCH('Wholesale tariffs - multiplay'!L26,'Values and minus percentages'!$C$6:$C$62,0))</f>
        <v>0.5</v>
      </c>
      <c r="M25" s="15">
        <f>INDEX('Values and minus percentages'!$F$6:$F$62,MATCH('Wholesale tariffs - multiplay'!M26,'Values and minus percentages'!$C$6:$C$62,0))</f>
        <v>0.5</v>
      </c>
      <c r="N25" s="15">
        <f>INDEX('Values and minus percentages'!$F$6:$F$62,MATCH('Wholesale tariffs - multiplay'!N26,'Values and minus percentages'!$C$6:$C$62,0))</f>
        <v>0</v>
      </c>
      <c r="O25" s="15">
        <f>INDEX('Values and minus percentages'!$F$6:$F$62,MATCH('Wholesale tariffs - multiplay'!O26,'Values and minus percentages'!$C$6:$C$62,0))</f>
        <v>0</v>
      </c>
      <c r="P25" s="15">
        <f>INDEX('Values and minus percentages'!$F$6:$F$62,MATCH('Wholesale tariffs - multiplay'!P26,'Values and minus percentages'!$C$6:$C$62,0))</f>
        <v>0.5</v>
      </c>
      <c r="Q25" s="15">
        <f>INDEX('Values and minus percentages'!$F$6:$F$62,MATCH('Wholesale tariffs - multiplay'!Q26,'Values and minus percentages'!$C$6:$C$62,0))</f>
        <v>0.5</v>
      </c>
      <c r="R25" s="15">
        <f>INDEX('Values and minus percentages'!$F$6:$F$62,MATCH('Wholesale tariffs - multiplay'!R26,'Values and minus percentages'!$C$6:$C$62,0))</f>
        <v>0.5</v>
      </c>
      <c r="S25" s="15"/>
      <c r="T25" s="15">
        <f>INDEX('Values and minus percentages'!$F$6:$F$62,MATCH('Wholesale tariffs - multiplay'!T26,'Values and minus percentages'!$C$6:$C$62,0))</f>
        <v>0</v>
      </c>
      <c r="U25" s="15">
        <f>INDEX('Values and minus percentages'!$F$6:$F$62,MATCH('Wholesale tariffs - multiplay'!U26,'Values and minus percentages'!$C$6:$C$62,0))</f>
        <v>0</v>
      </c>
      <c r="V25" s="15">
        <f>INDEX('Values and minus percentages'!$F$6:$F$62,MATCH('Wholesale tariffs - multiplay'!V26,'Values and minus percentages'!$C$6:$C$62,0))</f>
        <v>0.5</v>
      </c>
      <c r="W25" s="15">
        <f>INDEX('Values and minus percentages'!$F$6:$F$62,MATCH('Wholesale tariffs - multiplay'!W26,'Values and minus percentages'!$C$6:$C$62,0))</f>
        <v>0.5</v>
      </c>
      <c r="X25" s="15">
        <f>INDEX('Values and minus percentages'!$F$6:$F$62,MATCH('Wholesale tariffs - multiplay'!X26,'Values and minus percentages'!$C$6:$C$62,0))</f>
        <v>0.5</v>
      </c>
      <c r="Y25" s="15">
        <f>INDEX('Values and minus percentages'!$F$6:$F$62,MATCH('Wholesale tariffs - multiplay'!Y26,'Values and minus percentages'!$C$6:$C$62,0))</f>
        <v>0</v>
      </c>
      <c r="Z25" s="15">
        <f>INDEX('Values and minus percentages'!$F$6:$F$62,MATCH('Wholesale tariffs - multiplay'!Z26,'Values and minus percentages'!$C$6:$C$62,0))</f>
        <v>0</v>
      </c>
      <c r="AA25" s="15">
        <f>INDEX('Values and minus percentages'!$F$6:$F$62,MATCH('Wholesale tariffs - multiplay'!AA26,'Values and minus percentages'!$C$6:$C$62,0))</f>
        <v>0.5</v>
      </c>
      <c r="AB25" s="15">
        <f>INDEX('Values and minus percentages'!$F$6:$F$62,MATCH('Wholesale tariffs - multiplay'!AB26,'Values and minus percentages'!$C$6:$C$62,0))</f>
        <v>0.5</v>
      </c>
      <c r="AC25" s="15">
        <f>INDEX('Values and minus percentages'!$F$6:$F$62,MATCH('Wholesale tariffs - multiplay'!AC26,'Values and minus percentages'!$C$6:$C$62,0))</f>
        <v>0.5</v>
      </c>
      <c r="AD25" s="15"/>
      <c r="AE25" s="15">
        <f>INDEX('Values and minus percentages'!$F$6:$F$62,MATCH('Wholesale tariffs - multiplay'!AE26,'Values and minus percentages'!$C$6:$C$62,0))</f>
        <v>0</v>
      </c>
      <c r="AF25" s="15">
        <f>INDEX('Values and minus percentages'!$F$6:$F$62,MATCH('Wholesale tariffs - multiplay'!AF26,'Values and minus percentages'!$C$6:$C$62,0))</f>
        <v>0</v>
      </c>
      <c r="AG25" s="15">
        <f>INDEX('Values and minus percentages'!$F$6:$F$62,MATCH('Wholesale tariffs - multiplay'!AG26,'Values and minus percentages'!$C$6:$C$62,0))</f>
        <v>1.3</v>
      </c>
    </row>
    <row r="26" spans="3:33" s="41" customFormat="1" outlineLevel="1" x14ac:dyDescent="0.2">
      <c r="C26" s="95" t="s">
        <v>254</v>
      </c>
      <c r="E26" s="94" t="s">
        <v>169</v>
      </c>
      <c r="F26" s="94" t="s">
        <v>170</v>
      </c>
      <c r="G26" s="94" t="s">
        <v>170</v>
      </c>
      <c r="I26" s="94" t="s">
        <v>133</v>
      </c>
      <c r="J26" s="94" t="s">
        <v>133</v>
      </c>
      <c r="K26" s="94" t="s">
        <v>194</v>
      </c>
      <c r="L26" s="94" t="s">
        <v>194</v>
      </c>
      <c r="M26" s="94" t="s">
        <v>194</v>
      </c>
      <c r="N26" s="94" t="s">
        <v>133</v>
      </c>
      <c r="O26" s="94" t="s">
        <v>133</v>
      </c>
      <c r="P26" s="94" t="s">
        <v>194</v>
      </c>
      <c r="Q26" s="94" t="s">
        <v>194</v>
      </c>
      <c r="R26" s="94" t="s">
        <v>194</v>
      </c>
      <c r="T26" s="94" t="s">
        <v>133</v>
      </c>
      <c r="U26" s="94" t="s">
        <v>133</v>
      </c>
      <c r="V26" s="94" t="s">
        <v>196</v>
      </c>
      <c r="W26" s="94" t="s">
        <v>196</v>
      </c>
      <c r="X26" s="94" t="s">
        <v>196</v>
      </c>
      <c r="Y26" s="94" t="s">
        <v>133</v>
      </c>
      <c r="Z26" s="94" t="s">
        <v>133</v>
      </c>
      <c r="AA26" s="94" t="s">
        <v>196</v>
      </c>
      <c r="AB26" s="94" t="s">
        <v>196</v>
      </c>
      <c r="AC26" s="94" t="s">
        <v>196</v>
      </c>
      <c r="AE26" s="94" t="s">
        <v>133</v>
      </c>
      <c r="AF26" s="94" t="s">
        <v>133</v>
      </c>
      <c r="AG26" s="94" t="s">
        <v>168</v>
      </c>
    </row>
    <row r="27" spans="3:33" s="41" customFormat="1" x14ac:dyDescent="0.2">
      <c r="C27" s="95"/>
      <c r="E27" s="15"/>
      <c r="F27" s="15"/>
      <c r="G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row>
    <row r="28" spans="3:33" s="41" customFormat="1" x14ac:dyDescent="0.2">
      <c r="C28" s="41" t="s">
        <v>255</v>
      </c>
      <c r="E28" s="83">
        <f>IF(E13="-",E19,E22)+E25</f>
        <v>48.477499999999999</v>
      </c>
      <c r="F28" s="83">
        <f>IF(F13="-",F19,F22)+F25</f>
        <v>60.902499999999996</v>
      </c>
      <c r="G28" s="83">
        <f>IF(G13="-",G19,G22)+G25</f>
        <v>71.352499999999992</v>
      </c>
      <c r="H28" s="15"/>
      <c r="I28" s="83">
        <f t="shared" ref="I28:R28" si="7">IF(I13="-",I19,I22)</f>
        <v>35.5</v>
      </c>
      <c r="J28" s="83">
        <f t="shared" si="7"/>
        <v>45.5</v>
      </c>
      <c r="K28" s="83">
        <f t="shared" si="7"/>
        <v>55.5</v>
      </c>
      <c r="L28" s="83">
        <f t="shared" si="7"/>
        <v>65.5</v>
      </c>
      <c r="M28" s="83">
        <f t="shared" si="7"/>
        <v>85.5</v>
      </c>
      <c r="N28" s="83">
        <f t="shared" si="7"/>
        <v>43.5</v>
      </c>
      <c r="O28" s="83">
        <f t="shared" si="7"/>
        <v>53.5</v>
      </c>
      <c r="P28" s="83">
        <f t="shared" si="7"/>
        <v>63.5</v>
      </c>
      <c r="Q28" s="83">
        <f t="shared" si="7"/>
        <v>73.5</v>
      </c>
      <c r="R28" s="83">
        <f t="shared" si="7"/>
        <v>93.5</v>
      </c>
      <c r="S28" s="15"/>
      <c r="T28" s="83">
        <f t="shared" ref="T28:AC28" si="8">IF(T13="-",T19,T22)</f>
        <v>35.5</v>
      </c>
      <c r="U28" s="83">
        <f t="shared" si="8"/>
        <v>45.5</v>
      </c>
      <c r="V28" s="83">
        <f t="shared" si="8"/>
        <v>55.5</v>
      </c>
      <c r="W28" s="83">
        <f t="shared" si="8"/>
        <v>65.5</v>
      </c>
      <c r="X28" s="83">
        <f t="shared" si="8"/>
        <v>85.5</v>
      </c>
      <c r="Y28" s="83">
        <f t="shared" si="8"/>
        <v>43.5</v>
      </c>
      <c r="Z28" s="83">
        <f t="shared" si="8"/>
        <v>53.5</v>
      </c>
      <c r="AA28" s="83">
        <f t="shared" si="8"/>
        <v>63.5</v>
      </c>
      <c r="AB28" s="83">
        <f t="shared" si="8"/>
        <v>73.5</v>
      </c>
      <c r="AC28" s="83">
        <f t="shared" si="8"/>
        <v>93.5</v>
      </c>
      <c r="AD28" s="15"/>
      <c r="AE28" s="83">
        <f>IF(AE13="-",AE19,AE22)</f>
        <v>39.9</v>
      </c>
      <c r="AF28" s="83">
        <f>IF(AF13="-",AF19,AF22)</f>
        <v>49.9</v>
      </c>
      <c r="AG28" s="83">
        <f>IF(AG13="-",AG19,AG22)</f>
        <v>59.900000000000006</v>
      </c>
    </row>
    <row r="29" spans="3:33" s="41" customFormat="1" x14ac:dyDescent="0.2">
      <c r="C29" s="95" t="s">
        <v>256</v>
      </c>
      <c r="E29" s="83">
        <f>E28+E30</f>
        <v>40.064049586776861</v>
      </c>
      <c r="F29" s="83">
        <f t="shared" ref="F29:AG29" si="9">F28+F30</f>
        <v>50.332644628099168</v>
      </c>
      <c r="G29" s="83">
        <f t="shared" si="9"/>
        <v>58.969008264462801</v>
      </c>
      <c r="H29" s="15"/>
      <c r="I29" s="83">
        <f t="shared" si="9"/>
        <v>29.33884297520661</v>
      </c>
      <c r="J29" s="83">
        <f t="shared" si="9"/>
        <v>37.603305785123965</v>
      </c>
      <c r="K29" s="83">
        <f t="shared" si="9"/>
        <v>45.867768595041319</v>
      </c>
      <c r="L29" s="83">
        <f t="shared" si="9"/>
        <v>54.132231404958674</v>
      </c>
      <c r="M29" s="83">
        <f t="shared" si="9"/>
        <v>70.661157024793383</v>
      </c>
      <c r="N29" s="83">
        <f t="shared" si="9"/>
        <v>35.950413223140494</v>
      </c>
      <c r="O29" s="83">
        <f t="shared" si="9"/>
        <v>44.214876033057848</v>
      </c>
      <c r="P29" s="83">
        <f t="shared" si="9"/>
        <v>52.47933884297521</v>
      </c>
      <c r="Q29" s="83">
        <f t="shared" si="9"/>
        <v>60.743801652892564</v>
      </c>
      <c r="R29" s="83">
        <f t="shared" si="9"/>
        <v>77.27272727272728</v>
      </c>
      <c r="S29" s="15"/>
      <c r="T29" s="83">
        <f t="shared" ref="T29:AC29" si="10">T28+T30</f>
        <v>29.33884297520661</v>
      </c>
      <c r="U29" s="83">
        <f t="shared" si="10"/>
        <v>37.603305785123965</v>
      </c>
      <c r="V29" s="83">
        <f t="shared" si="10"/>
        <v>45.867768595041319</v>
      </c>
      <c r="W29" s="83">
        <f t="shared" si="10"/>
        <v>54.132231404958674</v>
      </c>
      <c r="X29" s="83">
        <f t="shared" si="10"/>
        <v>70.661157024793383</v>
      </c>
      <c r="Y29" s="83">
        <f t="shared" si="10"/>
        <v>35.950413223140494</v>
      </c>
      <c r="Z29" s="83">
        <f t="shared" si="10"/>
        <v>44.214876033057848</v>
      </c>
      <c r="AA29" s="83">
        <f t="shared" si="10"/>
        <v>52.47933884297521</v>
      </c>
      <c r="AB29" s="83">
        <f t="shared" si="10"/>
        <v>60.743801652892564</v>
      </c>
      <c r="AC29" s="83">
        <f t="shared" si="10"/>
        <v>77.27272727272728</v>
      </c>
      <c r="AD29" s="15"/>
      <c r="AE29" s="83">
        <f t="shared" si="9"/>
        <v>32.975206611570243</v>
      </c>
      <c r="AF29" s="83">
        <f t="shared" si="9"/>
        <v>41.239669421487605</v>
      </c>
      <c r="AG29" s="83">
        <f t="shared" si="9"/>
        <v>49.504132231404967</v>
      </c>
    </row>
    <row r="30" spans="3:33" outlineLevel="1" x14ac:dyDescent="0.2">
      <c r="C30" s="95" t="s">
        <v>257</v>
      </c>
      <c r="D30" s="41"/>
      <c r="E30" s="15">
        <f>-E28/(1+VAT.rate)*VAT.rate</f>
        <v>-8.4134504132231402</v>
      </c>
      <c r="F30" s="15">
        <f>-F28/(1+VAT.rate)*VAT.rate</f>
        <v>-10.569855371900827</v>
      </c>
      <c r="G30" s="15">
        <f>-G28/(1+VAT.rate)*VAT.rate</f>
        <v>-12.38349173553719</v>
      </c>
      <c r="I30" s="15">
        <f t="shared" ref="I30:R30" si="11">-I28/(1+VAT.rate)*VAT.rate</f>
        <v>-6.1611570247933889</v>
      </c>
      <c r="J30" s="15">
        <f t="shared" si="11"/>
        <v>-7.8966942148760326</v>
      </c>
      <c r="K30" s="15">
        <f t="shared" si="11"/>
        <v>-9.632231404958679</v>
      </c>
      <c r="L30" s="15">
        <f t="shared" si="11"/>
        <v>-11.367768595041323</v>
      </c>
      <c r="M30" s="15">
        <f t="shared" si="11"/>
        <v>-14.838842975206612</v>
      </c>
      <c r="N30" s="15">
        <f t="shared" si="11"/>
        <v>-7.5495867768595035</v>
      </c>
      <c r="O30" s="15">
        <f t="shared" si="11"/>
        <v>-9.2851239669421499</v>
      </c>
      <c r="P30" s="15">
        <f t="shared" si="11"/>
        <v>-11.020661157024794</v>
      </c>
      <c r="Q30" s="15">
        <f t="shared" si="11"/>
        <v>-12.756198347107437</v>
      </c>
      <c r="R30" s="15">
        <f t="shared" si="11"/>
        <v>-16.227272727272727</v>
      </c>
      <c r="S30" s="15"/>
      <c r="T30" s="15">
        <f t="shared" ref="T30:AC30" si="12">-T28/(1+VAT.rate)*VAT.rate</f>
        <v>-6.1611570247933889</v>
      </c>
      <c r="U30" s="15">
        <f t="shared" si="12"/>
        <v>-7.8966942148760326</v>
      </c>
      <c r="V30" s="15">
        <f t="shared" si="12"/>
        <v>-9.632231404958679</v>
      </c>
      <c r="W30" s="15">
        <f t="shared" si="12"/>
        <v>-11.367768595041323</v>
      </c>
      <c r="X30" s="15">
        <f t="shared" si="12"/>
        <v>-14.838842975206612</v>
      </c>
      <c r="Y30" s="15">
        <f t="shared" si="12"/>
        <v>-7.5495867768595035</v>
      </c>
      <c r="Z30" s="15">
        <f t="shared" si="12"/>
        <v>-9.2851239669421499</v>
      </c>
      <c r="AA30" s="15">
        <f t="shared" si="12"/>
        <v>-11.020661157024794</v>
      </c>
      <c r="AB30" s="15">
        <f t="shared" si="12"/>
        <v>-12.756198347107437</v>
      </c>
      <c r="AC30" s="15">
        <f t="shared" si="12"/>
        <v>-16.227272727272727</v>
      </c>
      <c r="AD30" s="15"/>
      <c r="AE30" s="15">
        <f>-AE28/(1+VAT.rate)*VAT.rate</f>
        <v>-6.9247933884297526</v>
      </c>
      <c r="AF30" s="15">
        <f>-AF28/(1+VAT.rate)*VAT.rate</f>
        <v>-8.6603305785123972</v>
      </c>
      <c r="AG30" s="15">
        <f>-AG28/(1+VAT.rate)*VAT.rate</f>
        <v>-10.395867768595043</v>
      </c>
    </row>
    <row r="31" spans="3:33" s="41" customFormat="1" x14ac:dyDescent="0.2">
      <c r="C31" s="95"/>
      <c r="E31" s="15"/>
      <c r="F31" s="15"/>
      <c r="G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row>
    <row r="32" spans="3:33" s="41" customFormat="1" x14ac:dyDescent="0.2">
      <c r="C32" s="95" t="s">
        <v>258</v>
      </c>
      <c r="E32" s="15">
        <f>-INDEX('Values and minus percentages'!$G$6:$G$62,MATCH('Wholesale tariffs - multiplay'!E33,'Values and minus percentages'!$C$6:$C$62,0))-INDEX('Values and minus percentages'!$G$6:$G$62,MATCH('Wholesale tariffs - multiplay'!E34,'Values and minus percentages'!$C$6:$C$62,0))</f>
        <v>-3.3057851239669422</v>
      </c>
      <c r="F32" s="15">
        <f>-INDEX('Values and minus percentages'!$G$6:$G$62,MATCH('Wholesale tariffs - multiplay'!F33,'Values and minus percentages'!$C$6:$C$62,0))-INDEX('Values and minus percentages'!$G$6:$G$62,MATCH('Wholesale tariffs - multiplay'!F34,'Values and minus percentages'!$C$6:$C$62,0))</f>
        <v>-3.3057851239669422</v>
      </c>
      <c r="G32" s="15">
        <f>-INDEX('Values and minus percentages'!$G$6:$G$62,MATCH('Wholesale tariffs - multiplay'!G33,'Values and minus percentages'!$C$6:$C$62,0))-INDEX('Values and minus percentages'!$G$6:$G$62,MATCH('Wholesale tariffs - multiplay'!G34,'Values and minus percentages'!$C$6:$C$62,0))</f>
        <v>-3.3057851239669422</v>
      </c>
      <c r="I32" s="15">
        <f>-INDEX('Values and minus percentages'!$G$6:$G$62,MATCH('Wholesale tariffs - multiplay'!I33,'Values and minus percentages'!$C$6:$C$62,0))-INDEX('Values and minus percentages'!$G$6:$G$62,MATCH('Wholesale tariffs - multiplay'!I34,'Values and minus percentages'!$C$6:$C$62,0))</f>
        <v>-3.2809917355371905</v>
      </c>
      <c r="J32" s="15">
        <f>-INDEX('Values and minus percentages'!$G$6:$G$62,MATCH('Wholesale tariffs - multiplay'!J33,'Values and minus percentages'!$C$6:$C$62,0))-INDEX('Values and minus percentages'!$G$6:$G$62,MATCH('Wholesale tariffs - multiplay'!J34,'Values and minus percentages'!$C$6:$C$62,0))</f>
        <v>-3.2809917355371905</v>
      </c>
      <c r="K32" s="15">
        <f>-INDEX('Values and minus percentages'!$G$6:$G$62,MATCH('Wholesale tariffs - multiplay'!K33,'Values and minus percentages'!$C$6:$C$62,0))-INDEX('Values and minus percentages'!$G$6:$G$62,MATCH('Wholesale tariffs - multiplay'!K34,'Values and minus percentages'!$C$6:$C$62,0))</f>
        <v>-3.2809917355371905</v>
      </c>
      <c r="L32" s="15">
        <f>-INDEX('Values and minus percentages'!$G$6:$G$62,MATCH('Wholesale tariffs - multiplay'!L33,'Values and minus percentages'!$C$6:$C$62,0))-INDEX('Values and minus percentages'!$G$6:$G$62,MATCH('Wholesale tariffs - multiplay'!L34,'Values and minus percentages'!$C$6:$C$62,0))</f>
        <v>-3.2809917355371905</v>
      </c>
      <c r="M32" s="15">
        <f>-INDEX('Values and minus percentages'!$G$6:$G$62,MATCH('Wholesale tariffs - multiplay'!M33,'Values and minus percentages'!$C$6:$C$62,0))-INDEX('Values and minus percentages'!$G$6:$G$62,MATCH('Wholesale tariffs - multiplay'!M34,'Values and minus percentages'!$C$6:$C$62,0))</f>
        <v>-3.2809917355371905</v>
      </c>
      <c r="N32" s="15">
        <f>-INDEX('Values and minus percentages'!$G$6:$G$62,MATCH('Wholesale tariffs - multiplay'!N33,'Values and minus percentages'!$C$6:$C$62,0))-INDEX('Values and minus percentages'!$G$6:$G$62,MATCH('Wholesale tariffs - multiplay'!N34,'Values and minus percentages'!$C$6:$C$62,0))</f>
        <v>-3.2809917355371905</v>
      </c>
      <c r="O32" s="15">
        <f>-INDEX('Values and minus percentages'!$G$6:$G$62,MATCH('Wholesale tariffs - multiplay'!O33,'Values and minus percentages'!$C$6:$C$62,0))-INDEX('Values and minus percentages'!$G$6:$G$62,MATCH('Wholesale tariffs - multiplay'!O34,'Values and minus percentages'!$C$6:$C$62,0))</f>
        <v>-3.2809917355371905</v>
      </c>
      <c r="P32" s="15">
        <f>-INDEX('Values and minus percentages'!$G$6:$G$62,MATCH('Wholesale tariffs - multiplay'!P33,'Values and minus percentages'!$C$6:$C$62,0))-INDEX('Values and minus percentages'!$G$6:$G$62,MATCH('Wholesale tariffs - multiplay'!P34,'Values and minus percentages'!$C$6:$C$62,0))</f>
        <v>-3.2809917355371905</v>
      </c>
      <c r="Q32" s="15">
        <f>-INDEX('Values and minus percentages'!$G$6:$G$62,MATCH('Wholesale tariffs - multiplay'!Q33,'Values and minus percentages'!$C$6:$C$62,0))-INDEX('Values and minus percentages'!$G$6:$G$62,MATCH('Wholesale tariffs - multiplay'!Q34,'Values and minus percentages'!$C$6:$C$62,0))</f>
        <v>-3.2809917355371905</v>
      </c>
      <c r="R32" s="15">
        <f>-INDEX('Values and minus percentages'!$G$6:$G$62,MATCH('Wholesale tariffs - multiplay'!R33,'Values and minus percentages'!$C$6:$C$62,0))-INDEX('Values and minus percentages'!$G$6:$G$62,MATCH('Wholesale tariffs - multiplay'!R34,'Values and minus percentages'!$C$6:$C$62,0))</f>
        <v>-3.2809917355371905</v>
      </c>
      <c r="S32" s="15"/>
      <c r="T32" s="15">
        <f>-INDEX('Values and minus percentages'!$G$6:$G$62,MATCH('Wholesale tariffs - multiplay'!T33,'Values and minus percentages'!$C$6:$C$62,0))-INDEX('Values and minus percentages'!$G$6:$G$62,MATCH('Wholesale tariffs - multiplay'!T34,'Values and minus percentages'!$C$6:$C$62,0))</f>
        <v>-3.2809917355371905</v>
      </c>
      <c r="U32" s="15">
        <f>-INDEX('Values and minus percentages'!$G$6:$G$62,MATCH('Wholesale tariffs - multiplay'!U33,'Values and minus percentages'!$C$6:$C$62,0))-INDEX('Values and minus percentages'!$G$6:$G$62,MATCH('Wholesale tariffs - multiplay'!U34,'Values and minus percentages'!$C$6:$C$62,0))</f>
        <v>-3.2809917355371905</v>
      </c>
      <c r="V32" s="15">
        <f>-INDEX('Values and minus percentages'!$G$6:$G$62,MATCH('Wholesale tariffs - multiplay'!V33,'Values and minus percentages'!$C$6:$C$62,0))-INDEX('Values and minus percentages'!$G$6:$G$62,MATCH('Wholesale tariffs - multiplay'!V34,'Values and minus percentages'!$C$6:$C$62,0))</f>
        <v>-3.2809917355371905</v>
      </c>
      <c r="W32" s="15">
        <f>-INDEX('Values and minus percentages'!$G$6:$G$62,MATCH('Wholesale tariffs - multiplay'!W33,'Values and minus percentages'!$C$6:$C$62,0))-INDEX('Values and minus percentages'!$G$6:$G$62,MATCH('Wholesale tariffs - multiplay'!W34,'Values and minus percentages'!$C$6:$C$62,0))</f>
        <v>-3.2809917355371905</v>
      </c>
      <c r="X32" s="15">
        <f>-INDEX('Values and minus percentages'!$G$6:$G$62,MATCH('Wholesale tariffs - multiplay'!X33,'Values and minus percentages'!$C$6:$C$62,0))-INDEX('Values and minus percentages'!$G$6:$G$62,MATCH('Wholesale tariffs - multiplay'!X34,'Values and minus percentages'!$C$6:$C$62,0))</f>
        <v>-3.2809917355371905</v>
      </c>
      <c r="Y32" s="15">
        <f>-INDEX('Values and minus percentages'!$G$6:$G$62,MATCH('Wholesale tariffs - multiplay'!Y33,'Values and minus percentages'!$C$6:$C$62,0))-INDEX('Values and minus percentages'!$G$6:$G$62,MATCH('Wholesale tariffs - multiplay'!Y34,'Values and minus percentages'!$C$6:$C$62,0))</f>
        <v>-3.2809917355371905</v>
      </c>
      <c r="Z32" s="15">
        <f>-INDEX('Values and minus percentages'!$G$6:$G$62,MATCH('Wholesale tariffs - multiplay'!Z33,'Values and minus percentages'!$C$6:$C$62,0))-INDEX('Values and minus percentages'!$G$6:$G$62,MATCH('Wholesale tariffs - multiplay'!Z34,'Values and minus percentages'!$C$6:$C$62,0))</f>
        <v>-3.2809917355371905</v>
      </c>
      <c r="AA32" s="15">
        <f>-INDEX('Values and minus percentages'!$G$6:$G$62,MATCH('Wholesale tariffs - multiplay'!AA33,'Values and minus percentages'!$C$6:$C$62,0))-INDEX('Values and minus percentages'!$G$6:$G$62,MATCH('Wholesale tariffs - multiplay'!AA34,'Values and minus percentages'!$C$6:$C$62,0))</f>
        <v>-3.2809917355371905</v>
      </c>
      <c r="AB32" s="15">
        <f>-INDEX('Values and minus percentages'!$G$6:$G$62,MATCH('Wholesale tariffs - multiplay'!AB33,'Values and minus percentages'!$C$6:$C$62,0))-INDEX('Values and minus percentages'!$G$6:$G$62,MATCH('Wholesale tariffs - multiplay'!AB34,'Values and minus percentages'!$C$6:$C$62,0))</f>
        <v>-3.2809917355371905</v>
      </c>
      <c r="AC32" s="15">
        <f>-INDEX('Values and minus percentages'!$G$6:$G$62,MATCH('Wholesale tariffs - multiplay'!AC33,'Values and minus percentages'!$C$6:$C$62,0))-INDEX('Values and minus percentages'!$G$6:$G$62,MATCH('Wholesale tariffs - multiplay'!AC34,'Values and minus percentages'!$C$6:$C$62,0))</f>
        <v>-3.2809917355371905</v>
      </c>
      <c r="AD32" s="15"/>
      <c r="AE32" s="15">
        <f>-INDEX('Values and minus percentages'!$G$6:$G$62,MATCH('Wholesale tariffs - multiplay'!AE33,'Values and minus percentages'!$C$6:$C$62,0))-INDEX('Values and minus percentages'!$G$6:$G$62,MATCH('Wholesale tariffs - multiplay'!AE34,'Values and minus percentages'!$C$6:$C$62,0))</f>
        <v>-4.5454545454545459</v>
      </c>
      <c r="AF32" s="15">
        <f>-INDEX('Values and minus percentages'!$G$6:$G$62,MATCH('Wholesale tariffs - multiplay'!AF33,'Values and minus percentages'!$C$6:$C$62,0))-INDEX('Values and minus percentages'!$G$6:$G$62,MATCH('Wholesale tariffs - multiplay'!AF34,'Values and minus percentages'!$C$6:$C$62,0))</f>
        <v>-4.5454545454545459</v>
      </c>
      <c r="AG32" s="15">
        <f>-INDEX('Values and minus percentages'!$G$6:$G$62,MATCH('Wholesale tariffs - multiplay'!AG33,'Values and minus percentages'!$C$6:$C$62,0))-INDEX('Values and minus percentages'!$G$6:$G$62,MATCH('Wholesale tariffs - multiplay'!AG34,'Values and minus percentages'!$C$6:$C$62,0))</f>
        <v>-4.5454545454545459</v>
      </c>
    </row>
    <row r="33" spans="1:33" s="41" customFormat="1" outlineLevel="1" x14ac:dyDescent="0.2">
      <c r="C33" s="108" t="s">
        <v>259</v>
      </c>
      <c r="E33" s="94" t="s">
        <v>187</v>
      </c>
      <c r="F33" s="94" t="s">
        <v>187</v>
      </c>
      <c r="G33" s="94" t="s">
        <v>187</v>
      </c>
      <c r="I33" s="94" t="s">
        <v>201</v>
      </c>
      <c r="J33" s="94" t="s">
        <v>201</v>
      </c>
      <c r="K33" s="94" t="s">
        <v>201</v>
      </c>
      <c r="L33" s="94" t="s">
        <v>201</v>
      </c>
      <c r="M33" s="94" t="s">
        <v>201</v>
      </c>
      <c r="N33" s="94" t="s">
        <v>201</v>
      </c>
      <c r="O33" s="94" t="s">
        <v>201</v>
      </c>
      <c r="P33" s="94" t="s">
        <v>201</v>
      </c>
      <c r="Q33" s="94" t="s">
        <v>201</v>
      </c>
      <c r="R33" s="94" t="s">
        <v>201</v>
      </c>
      <c r="T33" s="94" t="s">
        <v>202</v>
      </c>
      <c r="U33" s="94" t="s">
        <v>202</v>
      </c>
      <c r="V33" s="94" t="s">
        <v>202</v>
      </c>
      <c r="W33" s="94" t="s">
        <v>202</v>
      </c>
      <c r="X33" s="94" t="s">
        <v>202</v>
      </c>
      <c r="Y33" s="94" t="s">
        <v>202</v>
      </c>
      <c r="Z33" s="94" t="s">
        <v>202</v>
      </c>
      <c r="AA33" s="94" t="s">
        <v>202</v>
      </c>
      <c r="AB33" s="94" t="s">
        <v>202</v>
      </c>
      <c r="AC33" s="94" t="s">
        <v>202</v>
      </c>
      <c r="AE33" s="94" t="s">
        <v>186</v>
      </c>
      <c r="AF33" s="94" t="s">
        <v>186</v>
      </c>
      <c r="AG33" s="94" t="s">
        <v>186</v>
      </c>
    </row>
    <row r="34" spans="1:33" s="41" customFormat="1" outlineLevel="1" x14ac:dyDescent="0.2">
      <c r="C34" s="108" t="s">
        <v>259</v>
      </c>
      <c r="E34" s="94" t="s">
        <v>133</v>
      </c>
      <c r="F34" s="94" t="s">
        <v>133</v>
      </c>
      <c r="G34" s="94" t="s">
        <v>133</v>
      </c>
      <c r="I34" s="94" t="s">
        <v>198</v>
      </c>
      <c r="J34" s="94" t="s">
        <v>198</v>
      </c>
      <c r="K34" s="94" t="s">
        <v>198</v>
      </c>
      <c r="L34" s="94" t="s">
        <v>198</v>
      </c>
      <c r="M34" s="94" t="s">
        <v>198</v>
      </c>
      <c r="N34" s="94" t="s">
        <v>198</v>
      </c>
      <c r="O34" s="94" t="s">
        <v>198</v>
      </c>
      <c r="P34" s="94" t="s">
        <v>198</v>
      </c>
      <c r="Q34" s="94" t="s">
        <v>198</v>
      </c>
      <c r="R34" s="94" t="s">
        <v>198</v>
      </c>
      <c r="T34" s="94" t="s">
        <v>199</v>
      </c>
      <c r="U34" s="94" t="s">
        <v>199</v>
      </c>
      <c r="V34" s="94" t="s">
        <v>199</v>
      </c>
      <c r="W34" s="94" t="s">
        <v>199</v>
      </c>
      <c r="X34" s="94" t="s">
        <v>199</v>
      </c>
      <c r="Y34" s="94" t="s">
        <v>199</v>
      </c>
      <c r="Z34" s="94" t="s">
        <v>199</v>
      </c>
      <c r="AA34" s="94" t="s">
        <v>199</v>
      </c>
      <c r="AB34" s="94" t="s">
        <v>199</v>
      </c>
      <c r="AC34" s="94" t="s">
        <v>199</v>
      </c>
      <c r="AE34" s="94" t="s">
        <v>197</v>
      </c>
      <c r="AF34" s="94" t="s">
        <v>197</v>
      </c>
      <c r="AG34" s="94" t="s">
        <v>197</v>
      </c>
    </row>
    <row r="35" spans="1:33" x14ac:dyDescent="0.2">
      <c r="A35" s="41"/>
      <c r="C35" s="41" t="s">
        <v>260</v>
      </c>
      <c r="D35" s="41"/>
      <c r="E35" s="83">
        <f>E28+E30+E32</f>
        <v>36.758264462809919</v>
      </c>
      <c r="F35" s="83">
        <f>F28+F30+F32</f>
        <v>47.026859504132226</v>
      </c>
      <c r="G35" s="83">
        <f>G28+G30+G32</f>
        <v>55.663223140495859</v>
      </c>
      <c r="I35" s="83">
        <f t="shared" ref="I35:R35" si="13">I28+I30+I32</f>
        <v>26.057851239669418</v>
      </c>
      <c r="J35" s="83">
        <f t="shared" si="13"/>
        <v>34.322314049586772</v>
      </c>
      <c r="K35" s="83">
        <f t="shared" si="13"/>
        <v>42.586776859504127</v>
      </c>
      <c r="L35" s="83">
        <f t="shared" si="13"/>
        <v>50.851239669421481</v>
      </c>
      <c r="M35" s="83">
        <f t="shared" si="13"/>
        <v>67.380165289256198</v>
      </c>
      <c r="N35" s="83">
        <f t="shared" si="13"/>
        <v>32.669421487603302</v>
      </c>
      <c r="O35" s="83">
        <f t="shared" si="13"/>
        <v>40.933884297520656</v>
      </c>
      <c r="P35" s="83">
        <f t="shared" si="13"/>
        <v>49.198347107438018</v>
      </c>
      <c r="Q35" s="83">
        <f t="shared" si="13"/>
        <v>57.462809917355372</v>
      </c>
      <c r="R35" s="83">
        <f t="shared" si="13"/>
        <v>73.991735537190095</v>
      </c>
      <c r="S35" s="15"/>
      <c r="T35" s="83">
        <f t="shared" ref="T35:AC35" si="14">T28+T30+T32</f>
        <v>26.057851239669418</v>
      </c>
      <c r="U35" s="83">
        <f t="shared" si="14"/>
        <v>34.322314049586772</v>
      </c>
      <c r="V35" s="83">
        <f t="shared" si="14"/>
        <v>42.586776859504127</v>
      </c>
      <c r="W35" s="83">
        <f t="shared" si="14"/>
        <v>50.851239669421481</v>
      </c>
      <c r="X35" s="83">
        <f t="shared" si="14"/>
        <v>67.380165289256198</v>
      </c>
      <c r="Y35" s="83">
        <f t="shared" si="14"/>
        <v>32.669421487603302</v>
      </c>
      <c r="Z35" s="83">
        <f t="shared" si="14"/>
        <v>40.933884297520656</v>
      </c>
      <c r="AA35" s="83">
        <f t="shared" si="14"/>
        <v>49.198347107438018</v>
      </c>
      <c r="AB35" s="83">
        <f t="shared" si="14"/>
        <v>57.462809917355372</v>
      </c>
      <c r="AC35" s="83">
        <f t="shared" si="14"/>
        <v>73.991735537190095</v>
      </c>
      <c r="AD35" s="15"/>
      <c r="AE35" s="83">
        <f>AE28+AE30+AE32</f>
        <v>28.429752066115697</v>
      </c>
      <c r="AF35" s="83">
        <f>AF28+AF30+AF32</f>
        <v>36.694214876033058</v>
      </c>
      <c r="AG35" s="83">
        <f>AG28+AG30+AG32</f>
        <v>44.95867768595042</v>
      </c>
    </row>
    <row r="37" spans="1:33" ht="12" x14ac:dyDescent="0.2">
      <c r="C37" s="59" t="s">
        <v>248</v>
      </c>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row>
    <row r="39" spans="1:33" ht="12" x14ac:dyDescent="0.2">
      <c r="C39" s="78" t="s">
        <v>261</v>
      </c>
    </row>
    <row r="40" spans="1:33" outlineLevel="1" x14ac:dyDescent="0.2">
      <c r="A40" s="41"/>
      <c r="C40" s="95" t="s">
        <v>262</v>
      </c>
      <c r="E40" s="15">
        <f>INDEX('Values and minus percentages'!$G$6:$G$62,MATCH('Wholesale tariffs - multiplay'!E8,'Values and minus percentages'!$C$6:$C$62,0))</f>
        <v>9.9173553719008272</v>
      </c>
      <c r="F40" s="15">
        <f>INDEX('Values and minus percentages'!$G$6:$G$62,MATCH('Wholesale tariffs - multiplay'!F8,'Values and minus percentages'!$C$6:$C$62,0))</f>
        <v>9.9173553719008272</v>
      </c>
      <c r="G40" s="15">
        <f>INDEX('Values and minus percentages'!$G$6:$G$62,MATCH('Wholesale tariffs - multiplay'!G8,'Values and minus percentages'!$C$6:$C$62,0))</f>
        <v>9.9173553719008272</v>
      </c>
      <c r="H40" s="15"/>
      <c r="I40" s="15">
        <f>INDEX('Values and minus percentages'!$G$6:$G$62,MATCH('Wholesale tariffs - multiplay'!I8,'Values and minus percentages'!$C$6:$C$62,0))</f>
        <v>11.181818181818182</v>
      </c>
      <c r="J40" s="15">
        <f>INDEX('Values and minus percentages'!$G$6:$G$62,MATCH('Wholesale tariffs - multiplay'!J8,'Values and minus percentages'!$C$6:$C$62,0))</f>
        <v>11.181818181818182</v>
      </c>
      <c r="K40" s="15">
        <f>INDEX('Values and minus percentages'!$G$6:$G$62,MATCH('Wholesale tariffs - multiplay'!K8,'Values and minus percentages'!$C$6:$C$62,0))</f>
        <v>11.181818181818182</v>
      </c>
      <c r="L40" s="15">
        <f>INDEX('Values and minus percentages'!$G$6:$G$62,MATCH('Wholesale tariffs - multiplay'!L8,'Values and minus percentages'!$C$6:$C$62,0))</f>
        <v>11.181818181818182</v>
      </c>
      <c r="M40" s="15">
        <f>INDEX('Values and minus percentages'!$G$6:$G$62,MATCH('Wholesale tariffs - multiplay'!M8,'Values and minus percentages'!$C$6:$C$62,0))</f>
        <v>11.181818181818182</v>
      </c>
      <c r="N40" s="15">
        <f>INDEX('Values and minus percentages'!$G$6:$G$62,MATCH('Wholesale tariffs - multiplay'!N8,'Values and minus percentages'!$C$6:$C$62,0))</f>
        <v>11.181818181818182</v>
      </c>
      <c r="O40" s="15">
        <f>INDEX('Values and minus percentages'!$G$6:$G$62,MATCH('Wholesale tariffs - multiplay'!O8,'Values and minus percentages'!$C$6:$C$62,0))</f>
        <v>11.181818181818182</v>
      </c>
      <c r="P40" s="15">
        <f>INDEX('Values and minus percentages'!$G$6:$G$62,MATCH('Wholesale tariffs - multiplay'!P8,'Values and minus percentages'!$C$6:$C$62,0))</f>
        <v>11.181818181818182</v>
      </c>
      <c r="Q40" s="15">
        <f>INDEX('Values and minus percentages'!$G$6:$G$62,MATCH('Wholesale tariffs - multiplay'!Q8,'Values and minus percentages'!$C$6:$C$62,0))</f>
        <v>11.181818181818182</v>
      </c>
      <c r="R40" s="15">
        <f>INDEX('Values and minus percentages'!$G$6:$G$62,MATCH('Wholesale tariffs - multiplay'!R8,'Values and minus percentages'!$C$6:$C$62,0))</f>
        <v>11.181818181818182</v>
      </c>
      <c r="S40" s="15"/>
      <c r="T40" s="15">
        <f>INDEX('Values and minus percentages'!$G$6:$G$62,MATCH('Wholesale tariffs - multiplay'!T8,'Values and minus percentages'!$C$6:$C$62,0))</f>
        <v>11.181818181818182</v>
      </c>
      <c r="U40" s="15">
        <f>INDEX('Values and minus percentages'!$G$6:$G$62,MATCH('Wholesale tariffs - multiplay'!U8,'Values and minus percentages'!$C$6:$C$62,0))</f>
        <v>11.181818181818182</v>
      </c>
      <c r="V40" s="15">
        <f>INDEX('Values and minus percentages'!$G$6:$G$62,MATCH('Wholesale tariffs - multiplay'!V8,'Values and minus percentages'!$C$6:$C$62,0))</f>
        <v>11.181818181818182</v>
      </c>
      <c r="W40" s="15">
        <f>INDEX('Values and minus percentages'!$G$6:$G$62,MATCH('Wholesale tariffs - multiplay'!W8,'Values and minus percentages'!$C$6:$C$62,0))</f>
        <v>11.181818181818182</v>
      </c>
      <c r="X40" s="15">
        <f>INDEX('Values and minus percentages'!$G$6:$G$62,MATCH('Wholesale tariffs - multiplay'!X8,'Values and minus percentages'!$C$6:$C$62,0))</f>
        <v>11.181818181818182</v>
      </c>
      <c r="Y40" s="15">
        <f>INDEX('Values and minus percentages'!$G$6:$G$62,MATCH('Wholesale tariffs - multiplay'!Y8,'Values and minus percentages'!$C$6:$C$62,0))</f>
        <v>11.181818181818182</v>
      </c>
      <c r="Z40" s="15">
        <f>INDEX('Values and minus percentages'!$G$6:$G$62,MATCH('Wholesale tariffs - multiplay'!Z8,'Values and minus percentages'!$C$6:$C$62,0))</f>
        <v>11.181818181818182</v>
      </c>
      <c r="AA40" s="15">
        <f>INDEX('Values and minus percentages'!$G$6:$G$62,MATCH('Wholesale tariffs - multiplay'!AA8,'Values and minus percentages'!$C$6:$C$62,0))</f>
        <v>11.181818181818182</v>
      </c>
      <c r="AB40" s="15">
        <f>INDEX('Values and minus percentages'!$G$6:$G$62,MATCH('Wholesale tariffs - multiplay'!AB8,'Values and minus percentages'!$C$6:$C$62,0))</f>
        <v>11.181818181818182</v>
      </c>
      <c r="AC40" s="15">
        <f>INDEX('Values and minus percentages'!$G$6:$G$62,MATCH('Wholesale tariffs - multiplay'!AC8,'Values and minus percentages'!$C$6:$C$62,0))</f>
        <v>11.181818181818182</v>
      </c>
      <c r="AD40" s="15"/>
      <c r="AE40" s="15">
        <f>INDEX('Values and minus percentages'!$G$6:$G$62,MATCH('Wholesale tariffs - multiplay'!AE8,'Values and minus percentages'!$C$6:$C$62,0))</f>
        <v>15.53719008264463</v>
      </c>
      <c r="AF40" s="15">
        <f>INDEX('Values and minus percentages'!$G$6:$G$62,MATCH('Wholesale tariffs - multiplay'!AF8,'Values and minus percentages'!$C$6:$C$62,0))</f>
        <v>15.53719008264463</v>
      </c>
      <c r="AG40" s="15">
        <f>INDEX('Values and minus percentages'!$G$6:$G$62,MATCH('Wholesale tariffs - multiplay'!AG8,'Values and minus percentages'!$C$6:$C$62,0))</f>
        <v>15.53719008264463</v>
      </c>
    </row>
    <row r="41" spans="1:33" outlineLevel="1" x14ac:dyDescent="0.2">
      <c r="C41" s="95" t="s">
        <v>148</v>
      </c>
      <c r="E41" s="15">
        <f>INDEX('Values and minus percentages'!$G$6:$G$62,MATCH('Wholesale tariffs - multiplay'!E9,'Values and minus percentages'!$C$6:$C$62,0))</f>
        <v>22.305785123966942</v>
      </c>
      <c r="F41" s="15">
        <f>INDEX('Values and minus percentages'!$G$6:$G$62,MATCH('Wholesale tariffs - multiplay'!F9,'Values and minus percentages'!$C$6:$C$62,0))</f>
        <v>40.81818181818182</v>
      </c>
      <c r="G41" s="15">
        <f>INDEX('Values and minus percentages'!$G$6:$G$62,MATCH('Wholesale tariffs - multiplay'!G9,'Values and minus percentages'!$C$6:$C$62,0))</f>
        <v>58.504132231404967</v>
      </c>
      <c r="H41" s="15"/>
      <c r="I41" s="15">
        <f>INDEX('Values and minus percentages'!$G$6:$G$62,MATCH('Wholesale tariffs - multiplay'!I9,'Values and minus percentages'!$C$6:$C$62,0))</f>
        <v>20.619834710743802</v>
      </c>
      <c r="J41" s="15">
        <f>INDEX('Values and minus percentages'!$G$6:$G$62,MATCH('Wholesale tariffs - multiplay'!J9,'Values and minus percentages'!$C$6:$C$62,0))</f>
        <v>29.710743801652896</v>
      </c>
      <c r="K41" s="15">
        <f>INDEX('Values and minus percentages'!$G$6:$G$62,MATCH('Wholesale tariffs - multiplay'!K9,'Values and minus percentages'!$C$6:$C$62,0))</f>
        <v>37.97520661157025</v>
      </c>
      <c r="L41" s="15">
        <f>INDEX('Values and minus percentages'!$G$6:$G$62,MATCH('Wholesale tariffs - multiplay'!L9,'Values and minus percentages'!$C$6:$C$62,0))</f>
        <v>47.066115702479344</v>
      </c>
      <c r="M41" s="15">
        <f>INDEX('Values and minus percentages'!$G$6:$G$62,MATCH('Wholesale tariffs - multiplay'!M9,'Values and minus percentages'!$C$6:$C$62,0))</f>
        <v>63.595041322314053</v>
      </c>
      <c r="N41" s="15">
        <f>INDEX('Values and minus percentages'!$G$6:$G$62,MATCH('Wholesale tariffs - multiplay'!N9,'Values and minus percentages'!$C$6:$C$62,0))</f>
        <v>20.619834710743802</v>
      </c>
      <c r="O41" s="15">
        <f>INDEX('Values and minus percentages'!$G$6:$G$62,MATCH('Wholesale tariffs - multiplay'!O9,'Values and minus percentages'!$C$6:$C$62,0))</f>
        <v>29.710743801652896</v>
      </c>
      <c r="P41" s="15">
        <f>INDEX('Values and minus percentages'!$G$6:$G$62,MATCH('Wholesale tariffs - multiplay'!P9,'Values and minus percentages'!$C$6:$C$62,0))</f>
        <v>37.97520661157025</v>
      </c>
      <c r="Q41" s="15">
        <f>INDEX('Values and minus percentages'!$G$6:$G$62,MATCH('Wholesale tariffs - multiplay'!Q9,'Values and minus percentages'!$C$6:$C$62,0))</f>
        <v>47.066115702479344</v>
      </c>
      <c r="R41" s="15">
        <f>INDEX('Values and minus percentages'!$G$6:$G$62,MATCH('Wholesale tariffs - multiplay'!R9,'Values and minus percentages'!$C$6:$C$62,0))</f>
        <v>63.595041322314053</v>
      </c>
      <c r="S41" s="15"/>
      <c r="T41" s="15">
        <f>INDEX('Values and minus percentages'!$G$6:$G$62,MATCH('Wholesale tariffs - multiplay'!T9,'Values and minus percentages'!$C$6:$C$62,0))</f>
        <v>20.619834710743802</v>
      </c>
      <c r="U41" s="15">
        <f>INDEX('Values and minus percentages'!$G$6:$G$62,MATCH('Wholesale tariffs - multiplay'!U9,'Values and minus percentages'!$C$6:$C$62,0))</f>
        <v>29.710743801652896</v>
      </c>
      <c r="V41" s="15">
        <f>INDEX('Values and minus percentages'!$G$6:$G$62,MATCH('Wholesale tariffs - multiplay'!V9,'Values and minus percentages'!$C$6:$C$62,0))</f>
        <v>37.97520661157025</v>
      </c>
      <c r="W41" s="15">
        <f>INDEX('Values and minus percentages'!$G$6:$G$62,MATCH('Wholesale tariffs - multiplay'!W9,'Values and minus percentages'!$C$6:$C$62,0))</f>
        <v>47.066115702479344</v>
      </c>
      <c r="X41" s="15">
        <f>INDEX('Values and minus percentages'!$G$6:$G$62,MATCH('Wholesale tariffs - multiplay'!X9,'Values and minus percentages'!$C$6:$C$62,0))</f>
        <v>63.595041322314053</v>
      </c>
      <c r="Y41" s="15">
        <f>INDEX('Values and minus percentages'!$G$6:$G$62,MATCH('Wholesale tariffs - multiplay'!Y9,'Values and minus percentages'!$C$6:$C$62,0))</f>
        <v>20.619834710743802</v>
      </c>
      <c r="Z41" s="15">
        <f>INDEX('Values and minus percentages'!$G$6:$G$62,MATCH('Wholesale tariffs - multiplay'!Z9,'Values and minus percentages'!$C$6:$C$62,0))</f>
        <v>29.710743801652896</v>
      </c>
      <c r="AA41" s="15">
        <f>INDEX('Values and minus percentages'!$G$6:$G$62,MATCH('Wholesale tariffs - multiplay'!AA9,'Values and minus percentages'!$C$6:$C$62,0))</f>
        <v>37.97520661157025</v>
      </c>
      <c r="AB41" s="15">
        <f>INDEX('Values and minus percentages'!$G$6:$G$62,MATCH('Wholesale tariffs - multiplay'!AB9,'Values and minus percentages'!$C$6:$C$62,0))</f>
        <v>47.066115702479344</v>
      </c>
      <c r="AC41" s="15">
        <f>INDEX('Values and minus percentages'!$G$6:$G$62,MATCH('Wholesale tariffs - multiplay'!AC9,'Values and minus percentages'!$C$6:$C$62,0))</f>
        <v>63.595041322314053</v>
      </c>
      <c r="AD41" s="15"/>
      <c r="AE41" s="15">
        <f>INDEX('Values and minus percentages'!$G$6:$G$62,MATCH('Wholesale tariffs - multiplay'!AE9,'Values and minus percentages'!$C$6:$C$62,0))</f>
        <v>26.363636363636363</v>
      </c>
      <c r="AF41" s="15">
        <f>INDEX('Values and minus percentages'!$G$6:$G$62,MATCH('Wholesale tariffs - multiplay'!AF9,'Values and minus percentages'!$C$6:$C$62,0))</f>
        <v>42.892561983471076</v>
      </c>
      <c r="AG41" s="15">
        <f>INDEX('Values and minus percentages'!$G$6:$G$62,MATCH('Wholesale tariffs - multiplay'!AG9,'Values and minus percentages'!$C$6:$C$62,0))</f>
        <v>51.15702479338843</v>
      </c>
    </row>
    <row r="42" spans="1:33" outlineLevel="1" x14ac:dyDescent="0.2">
      <c r="C42" s="95" t="s">
        <v>243</v>
      </c>
      <c r="E42" s="15">
        <f>INDEX('Values and minus percentages'!$G$6:$G$62,MATCH('Wholesale tariffs - multiplay'!E10,'Values and minus percentages'!$C$6:$C$62,0))</f>
        <v>5.6714876033057848</v>
      </c>
      <c r="F42" s="15">
        <f>INDEX('Values and minus percentages'!$G$6:$G$62,MATCH('Wholesale tariffs - multiplay'!F10,'Values and minus percentages'!$C$6:$C$62,0))</f>
        <v>5.6714876033057848</v>
      </c>
      <c r="G42" s="15">
        <f>INDEX('Values and minus percentages'!$G$6:$G$62,MATCH('Wholesale tariffs - multiplay'!G10,'Values and minus percentages'!$C$6:$C$62,0))</f>
        <v>5.6714876033057848</v>
      </c>
      <c r="H42" s="15"/>
      <c r="I42" s="15">
        <f>INDEX('Values and minus percentages'!$G$6:$G$62,MATCH('Wholesale tariffs - multiplay'!I10,'Values and minus percentages'!$C$6:$C$62,0))</f>
        <v>0</v>
      </c>
      <c r="J42" s="15">
        <f>INDEX('Values and minus percentages'!$G$6:$G$62,MATCH('Wholesale tariffs - multiplay'!J10,'Values and minus percentages'!$C$6:$C$62,0))</f>
        <v>0</v>
      </c>
      <c r="K42" s="15">
        <f>INDEX('Values and minus percentages'!$G$6:$G$62,MATCH('Wholesale tariffs - multiplay'!K10,'Values and minus percentages'!$C$6:$C$62,0))</f>
        <v>2.0454545454545454</v>
      </c>
      <c r="L42" s="15">
        <f>INDEX('Values and minus percentages'!$G$6:$G$62,MATCH('Wholesale tariffs - multiplay'!L10,'Values and minus percentages'!$C$6:$C$62,0))</f>
        <v>2.0454545454545454</v>
      </c>
      <c r="M42" s="15">
        <f>INDEX('Values and minus percentages'!$G$6:$G$62,MATCH('Wholesale tariffs - multiplay'!M10,'Values and minus percentages'!$C$6:$C$62,0))</f>
        <v>2.0454545454545454</v>
      </c>
      <c r="N42" s="15">
        <f>INDEX('Values and minus percentages'!$G$6:$G$62,MATCH('Wholesale tariffs - multiplay'!N10,'Values and minus percentages'!$C$6:$C$62,0))</f>
        <v>0</v>
      </c>
      <c r="O42" s="15">
        <f>INDEX('Values and minus percentages'!$G$6:$G$62,MATCH('Wholesale tariffs - multiplay'!O10,'Values and minus percentages'!$C$6:$C$62,0))</f>
        <v>0</v>
      </c>
      <c r="P42" s="15">
        <f>INDEX('Values and minus percentages'!$G$6:$G$62,MATCH('Wholesale tariffs - multiplay'!P10,'Values and minus percentages'!$C$6:$C$62,0))</f>
        <v>2.0454545454545454</v>
      </c>
      <c r="Q42" s="15">
        <f>INDEX('Values and minus percentages'!$G$6:$G$62,MATCH('Wholesale tariffs - multiplay'!Q10,'Values and minus percentages'!$C$6:$C$62,0))</f>
        <v>2.0454545454545454</v>
      </c>
      <c r="R42" s="15">
        <f>INDEX('Values and minus percentages'!$G$6:$G$62,MATCH('Wholesale tariffs - multiplay'!R10,'Values and minus percentages'!$C$6:$C$62,0))</f>
        <v>2.0454545454545454</v>
      </c>
      <c r="S42" s="15"/>
      <c r="T42" s="15">
        <f>INDEX('Values and minus percentages'!$G$6:$G$62,MATCH('Wholesale tariffs - multiplay'!T10,'Values and minus percentages'!$C$6:$C$62,0))</f>
        <v>0</v>
      </c>
      <c r="U42" s="15">
        <f>INDEX('Values and minus percentages'!$G$6:$G$62,MATCH('Wholesale tariffs - multiplay'!U10,'Values and minus percentages'!$C$6:$C$62,0))</f>
        <v>0</v>
      </c>
      <c r="V42" s="15">
        <f>INDEX('Values and minus percentages'!$G$6:$G$62,MATCH('Wholesale tariffs - multiplay'!V10,'Values and minus percentages'!$C$6:$C$62,0))</f>
        <v>2.0454545454545454</v>
      </c>
      <c r="W42" s="15">
        <f>INDEX('Values and minus percentages'!$G$6:$G$62,MATCH('Wholesale tariffs - multiplay'!W10,'Values and minus percentages'!$C$6:$C$62,0))</f>
        <v>2.0454545454545454</v>
      </c>
      <c r="X42" s="15">
        <f>INDEX('Values and minus percentages'!$G$6:$G$62,MATCH('Wholesale tariffs - multiplay'!X10,'Values and minus percentages'!$C$6:$C$62,0))</f>
        <v>2.0454545454545454</v>
      </c>
      <c r="Y42" s="15">
        <f>INDEX('Values and minus percentages'!$G$6:$G$62,MATCH('Wholesale tariffs - multiplay'!Y10,'Values and minus percentages'!$C$6:$C$62,0))</f>
        <v>0</v>
      </c>
      <c r="Z42" s="15">
        <f>INDEX('Values and minus percentages'!$G$6:$G$62,MATCH('Wholesale tariffs - multiplay'!Z10,'Values and minus percentages'!$C$6:$C$62,0))</f>
        <v>0</v>
      </c>
      <c r="AA42" s="15">
        <f>INDEX('Values and minus percentages'!$G$6:$G$62,MATCH('Wholesale tariffs - multiplay'!AA10,'Values and minus percentages'!$C$6:$C$62,0))</f>
        <v>2.0454545454545454</v>
      </c>
      <c r="AB42" s="15">
        <f>INDEX('Values and minus percentages'!$G$6:$G$62,MATCH('Wholesale tariffs - multiplay'!AB10,'Values and minus percentages'!$C$6:$C$62,0))</f>
        <v>2.0454545454545454</v>
      </c>
      <c r="AC42" s="15">
        <f>INDEX('Values and minus percentages'!$G$6:$G$62,MATCH('Wholesale tariffs - multiplay'!AC10,'Values and minus percentages'!$C$6:$C$62,0))</f>
        <v>2.0454545454545454</v>
      </c>
      <c r="AD42" s="15"/>
      <c r="AE42" s="15">
        <f>INDEX('Values and minus percentages'!$G$6:$G$62,MATCH('Wholesale tariffs - multiplay'!AE10,'Values and minus percentages'!$C$6:$C$62,0))</f>
        <v>0</v>
      </c>
      <c r="AF42" s="15">
        <f>INDEX('Values and minus percentages'!$G$6:$G$62,MATCH('Wholesale tariffs - multiplay'!AF10,'Values and minus percentages'!$C$6:$C$62,0))</f>
        <v>0</v>
      </c>
      <c r="AG42" s="15">
        <f>INDEX('Values and minus percentages'!$G$6:$G$62,MATCH('Wholesale tariffs - multiplay'!AG10,'Values and minus percentages'!$C$6:$C$62,0))</f>
        <v>1.0743801652892562</v>
      </c>
    </row>
    <row r="43" spans="1:33" outlineLevel="1" x14ac:dyDescent="0.2">
      <c r="C43" s="95" t="s">
        <v>244</v>
      </c>
      <c r="E43" s="15">
        <f>INDEX('Values and minus percentages'!$G$6:$G$62,MATCH('Wholesale tariffs - multiplay'!E11,'Values and minus percentages'!$C$6:$C$62,0))</f>
        <v>0</v>
      </c>
      <c r="F43" s="15">
        <f>INDEX('Values and minus percentages'!$G$6:$G$62,MATCH('Wholesale tariffs - multiplay'!F11,'Values and minus percentages'!$C$6:$C$62,0))</f>
        <v>0</v>
      </c>
      <c r="G43" s="15">
        <f>INDEX('Values and minus percentages'!$G$6:$G$62,MATCH('Wholesale tariffs - multiplay'!G11,'Values and minus percentages'!$C$6:$C$62,0))</f>
        <v>0</v>
      </c>
      <c r="H43" s="15"/>
      <c r="I43" s="15">
        <f>INDEX('Values and minus percentages'!$G$6:$G$62,MATCH('Wholesale tariffs - multiplay'!I11,'Values and minus percentages'!$C$6:$C$62,0))</f>
        <v>0</v>
      </c>
      <c r="J43" s="15">
        <f>INDEX('Values and minus percentages'!$G$6:$G$62,MATCH('Wholesale tariffs - multiplay'!J11,'Values and minus percentages'!$C$6:$C$62,0))</f>
        <v>0</v>
      </c>
      <c r="K43" s="15">
        <f>INDEX('Values and minus percentages'!$G$6:$G$62,MATCH('Wholesale tariffs - multiplay'!K11,'Values and minus percentages'!$C$6:$C$62,0))</f>
        <v>0</v>
      </c>
      <c r="L43" s="15">
        <f>INDEX('Values and minus percentages'!$G$6:$G$62,MATCH('Wholesale tariffs - multiplay'!L11,'Values and minus percentages'!$C$6:$C$62,0))</f>
        <v>0</v>
      </c>
      <c r="M43" s="15">
        <f>INDEX('Values and minus percentages'!$G$6:$G$62,MATCH('Wholesale tariffs - multiplay'!M11,'Values and minus percentages'!$C$6:$C$62,0))</f>
        <v>0</v>
      </c>
      <c r="N43" s="15">
        <f>INDEX('Values and minus percentages'!$G$6:$G$62,MATCH('Wholesale tariffs - multiplay'!N11,'Values and minus percentages'!$C$6:$C$62,0))</f>
        <v>0</v>
      </c>
      <c r="O43" s="15">
        <f>INDEX('Values and minus percentages'!$G$6:$G$62,MATCH('Wholesale tariffs - multiplay'!O11,'Values and minus percentages'!$C$6:$C$62,0))</f>
        <v>0</v>
      </c>
      <c r="P43" s="15">
        <f>INDEX('Values and minus percentages'!$G$6:$G$62,MATCH('Wholesale tariffs - multiplay'!P11,'Values and minus percentages'!$C$6:$C$62,0))</f>
        <v>0</v>
      </c>
      <c r="Q43" s="15">
        <f>INDEX('Values and minus percentages'!$G$6:$G$62,MATCH('Wholesale tariffs - multiplay'!Q11,'Values and minus percentages'!$C$6:$C$62,0))</f>
        <v>0</v>
      </c>
      <c r="R43" s="15">
        <f>INDEX('Values and minus percentages'!$G$6:$G$62,MATCH('Wholesale tariffs - multiplay'!R11,'Values and minus percentages'!$C$6:$C$62,0))</f>
        <v>0</v>
      </c>
      <c r="S43" s="15"/>
      <c r="T43" s="15">
        <f>INDEX('Values and minus percentages'!$G$6:$G$62,MATCH('Wholesale tariffs - multiplay'!T11,'Values and minus percentages'!$C$6:$C$62,0))</f>
        <v>0</v>
      </c>
      <c r="U43" s="15">
        <f>INDEX('Values and minus percentages'!$G$6:$G$62,MATCH('Wholesale tariffs - multiplay'!U11,'Values and minus percentages'!$C$6:$C$62,0))</f>
        <v>0</v>
      </c>
      <c r="V43" s="15">
        <f>INDEX('Values and minus percentages'!$G$6:$G$62,MATCH('Wholesale tariffs - multiplay'!V11,'Values and minus percentages'!$C$6:$C$62,0))</f>
        <v>0</v>
      </c>
      <c r="W43" s="15">
        <f>INDEX('Values and minus percentages'!$G$6:$G$62,MATCH('Wholesale tariffs - multiplay'!W11,'Values and minus percentages'!$C$6:$C$62,0))</f>
        <v>0</v>
      </c>
      <c r="X43" s="15">
        <f>INDEX('Values and minus percentages'!$G$6:$G$62,MATCH('Wholesale tariffs - multiplay'!X11,'Values and minus percentages'!$C$6:$C$62,0))</f>
        <v>0</v>
      </c>
      <c r="Y43" s="15">
        <f>INDEX('Values and minus percentages'!$G$6:$G$62,MATCH('Wholesale tariffs - multiplay'!Y11,'Values and minus percentages'!$C$6:$C$62,0))</f>
        <v>0</v>
      </c>
      <c r="Z43" s="15">
        <f>INDEX('Values and minus percentages'!$G$6:$G$62,MATCH('Wholesale tariffs - multiplay'!Z11,'Values and minus percentages'!$C$6:$C$62,0))</f>
        <v>0</v>
      </c>
      <c r="AA43" s="15">
        <f>INDEX('Values and minus percentages'!$G$6:$G$62,MATCH('Wholesale tariffs - multiplay'!AA11,'Values and minus percentages'!$C$6:$C$62,0))</f>
        <v>0</v>
      </c>
      <c r="AB43" s="15">
        <f>INDEX('Values and minus percentages'!$G$6:$G$62,MATCH('Wholesale tariffs - multiplay'!AB11,'Values and minus percentages'!$C$6:$C$62,0))</f>
        <v>0</v>
      </c>
      <c r="AC43" s="15">
        <f>INDEX('Values and minus percentages'!$G$6:$G$62,MATCH('Wholesale tariffs - multiplay'!AC11,'Values and minus percentages'!$C$6:$C$62,0))</f>
        <v>0</v>
      </c>
      <c r="AD43" s="15"/>
      <c r="AE43" s="15">
        <f>INDEX('Values and minus percentages'!$G$6:$G$62,MATCH('Wholesale tariffs - multiplay'!AE11,'Values and minus percentages'!$C$6:$C$62,0))</f>
        <v>0</v>
      </c>
      <c r="AF43" s="15">
        <f>INDEX('Values and minus percentages'!$G$6:$G$62,MATCH('Wholesale tariffs - multiplay'!AF11,'Values and minus percentages'!$C$6:$C$62,0))</f>
        <v>0</v>
      </c>
      <c r="AG43" s="15">
        <f>INDEX('Values and minus percentages'!$G$6:$G$62,MATCH('Wholesale tariffs - multiplay'!AG11,'Values and minus percentages'!$C$6:$C$62,0))</f>
        <v>0</v>
      </c>
    </row>
    <row r="44" spans="1:33" outlineLevel="1" x14ac:dyDescent="0.2">
      <c r="C44" s="95" t="s">
        <v>245</v>
      </c>
      <c r="E44" s="15">
        <f>INDEX('Values and minus percentages'!$G$6:$G$62,MATCH('Wholesale tariffs - multiplay'!E12,'Values and minus percentages'!$C$6:$C$62,0))</f>
        <v>4.1322314049586781</v>
      </c>
      <c r="F44" s="15">
        <f>INDEX('Values and minus percentages'!$G$6:$G$62,MATCH('Wholesale tariffs - multiplay'!F12,'Values and minus percentages'!$C$6:$C$62,0))</f>
        <v>4.1322314049586781</v>
      </c>
      <c r="G44" s="15">
        <f>INDEX('Values and minus percentages'!$G$6:$G$62,MATCH('Wholesale tariffs - multiplay'!G12,'Values and minus percentages'!$C$6:$C$62,0))</f>
        <v>4.1322314049586781</v>
      </c>
      <c r="H44" s="15"/>
      <c r="I44" s="15">
        <f>INDEX('Values and minus percentages'!$G$6:$G$62,MATCH('Wholesale tariffs - multiplay'!I12,'Values and minus percentages'!$C$6:$C$62,0))</f>
        <v>4.1322314049586781</v>
      </c>
      <c r="J44" s="15">
        <f>INDEX('Values and minus percentages'!$G$6:$G$62,MATCH('Wholesale tariffs - multiplay'!J12,'Values and minus percentages'!$C$6:$C$62,0))</f>
        <v>4.1322314049586781</v>
      </c>
      <c r="K44" s="15">
        <f>INDEX('Values and minus percentages'!$G$6:$G$62,MATCH('Wholesale tariffs - multiplay'!K12,'Values and minus percentages'!$C$6:$C$62,0))</f>
        <v>4.1322314049586781</v>
      </c>
      <c r="L44" s="15">
        <f>INDEX('Values and minus percentages'!$G$6:$G$62,MATCH('Wholesale tariffs - multiplay'!L12,'Values and minus percentages'!$C$6:$C$62,0))</f>
        <v>4.1322314049586781</v>
      </c>
      <c r="M44" s="15">
        <f>INDEX('Values and minus percentages'!$G$6:$G$62,MATCH('Wholesale tariffs - multiplay'!M12,'Values and minus percentages'!$C$6:$C$62,0))</f>
        <v>4.1322314049586781</v>
      </c>
      <c r="N44" s="15">
        <f>INDEX('Values and minus percentages'!$G$6:$G$62,MATCH('Wholesale tariffs - multiplay'!N12,'Values and minus percentages'!$C$6:$C$62,0))</f>
        <v>4.1322314049586781</v>
      </c>
      <c r="O44" s="15">
        <f>INDEX('Values and minus percentages'!$G$6:$G$62,MATCH('Wholesale tariffs - multiplay'!O12,'Values and minus percentages'!$C$6:$C$62,0))</f>
        <v>4.1322314049586781</v>
      </c>
      <c r="P44" s="15">
        <f>INDEX('Values and minus percentages'!$G$6:$G$62,MATCH('Wholesale tariffs - multiplay'!P12,'Values and minus percentages'!$C$6:$C$62,0))</f>
        <v>4.1322314049586781</v>
      </c>
      <c r="Q44" s="15">
        <f>INDEX('Values and minus percentages'!$G$6:$G$62,MATCH('Wholesale tariffs - multiplay'!Q12,'Values and minus percentages'!$C$6:$C$62,0))</f>
        <v>4.1322314049586781</v>
      </c>
      <c r="R44" s="15">
        <f>INDEX('Values and minus percentages'!$G$6:$G$62,MATCH('Wholesale tariffs - multiplay'!R12,'Values and minus percentages'!$C$6:$C$62,0))</f>
        <v>4.1322314049586781</v>
      </c>
      <c r="S44" s="15"/>
      <c r="T44" s="15">
        <f>INDEX('Values and minus percentages'!$G$6:$G$62,MATCH('Wholesale tariffs - multiplay'!T12,'Values and minus percentages'!$C$6:$C$62,0))</f>
        <v>4.1322314049586781</v>
      </c>
      <c r="U44" s="15">
        <f>INDEX('Values and minus percentages'!$G$6:$G$62,MATCH('Wholesale tariffs - multiplay'!U12,'Values and minus percentages'!$C$6:$C$62,0))</f>
        <v>4.1322314049586781</v>
      </c>
      <c r="V44" s="15">
        <f>INDEX('Values and minus percentages'!$G$6:$G$62,MATCH('Wholesale tariffs - multiplay'!V12,'Values and minus percentages'!$C$6:$C$62,0))</f>
        <v>4.1322314049586781</v>
      </c>
      <c r="W44" s="15">
        <f>INDEX('Values and minus percentages'!$G$6:$G$62,MATCH('Wholesale tariffs - multiplay'!W12,'Values and minus percentages'!$C$6:$C$62,0))</f>
        <v>4.1322314049586781</v>
      </c>
      <c r="X44" s="15">
        <f>INDEX('Values and minus percentages'!$G$6:$G$62,MATCH('Wholesale tariffs - multiplay'!X12,'Values and minus percentages'!$C$6:$C$62,0))</f>
        <v>4.1322314049586781</v>
      </c>
      <c r="Y44" s="15">
        <f>INDEX('Values and minus percentages'!$G$6:$G$62,MATCH('Wholesale tariffs - multiplay'!Y12,'Values and minus percentages'!$C$6:$C$62,0))</f>
        <v>4.1322314049586781</v>
      </c>
      <c r="Z44" s="15">
        <f>INDEX('Values and minus percentages'!$G$6:$G$62,MATCH('Wholesale tariffs - multiplay'!Z12,'Values and minus percentages'!$C$6:$C$62,0))</f>
        <v>4.1322314049586781</v>
      </c>
      <c r="AA44" s="15">
        <f>INDEX('Values and minus percentages'!$G$6:$G$62,MATCH('Wholesale tariffs - multiplay'!AA12,'Values and minus percentages'!$C$6:$C$62,0))</f>
        <v>4.1322314049586781</v>
      </c>
      <c r="AB44" s="15">
        <f>INDEX('Values and minus percentages'!$G$6:$G$62,MATCH('Wholesale tariffs - multiplay'!AB12,'Values and minus percentages'!$C$6:$C$62,0))</f>
        <v>4.1322314049586781</v>
      </c>
      <c r="AC44" s="15">
        <f>INDEX('Values and minus percentages'!$G$6:$G$62,MATCH('Wholesale tariffs - multiplay'!AC12,'Values and minus percentages'!$C$6:$C$62,0))</f>
        <v>4.1322314049586781</v>
      </c>
      <c r="AD44" s="15"/>
      <c r="AE44" s="15">
        <f>INDEX('Values and minus percentages'!$G$6:$G$62,MATCH('Wholesale tariffs - multiplay'!AE12,'Values and minus percentages'!$C$6:$C$62,0))</f>
        <v>4.1322314049586781</v>
      </c>
      <c r="AF44" s="15">
        <f>INDEX('Values and minus percentages'!$G$6:$G$62,MATCH('Wholesale tariffs - multiplay'!AF12,'Values and minus percentages'!$C$6:$C$62,0))</f>
        <v>4.1322314049586781</v>
      </c>
      <c r="AG44" s="15">
        <f>INDEX('Values and minus percentages'!$G$6:$G$62,MATCH('Wholesale tariffs - multiplay'!AG12,'Values and minus percentages'!$C$6:$C$62,0))</f>
        <v>4.1322314049586781</v>
      </c>
    </row>
    <row r="45" spans="1:33" outlineLevel="1" x14ac:dyDescent="0.2">
      <c r="C45" s="95" t="s">
        <v>227</v>
      </c>
      <c r="E45" s="15">
        <f>INDEX('Values and minus percentages'!$G$6:$G$62,MATCH('Wholesale tariffs - multiplay'!E13,'Values and minus percentages'!$C$6:$C$62,0))</f>
        <v>0</v>
      </c>
      <c r="F45" s="15">
        <f>INDEX('Values and minus percentages'!$G$6:$G$62,MATCH('Wholesale tariffs - multiplay'!F13,'Values and minus percentages'!$C$6:$C$62,0))</f>
        <v>0</v>
      </c>
      <c r="G45" s="15">
        <f>INDEX('Values and minus percentages'!$G$6:$G$62,MATCH('Wholesale tariffs - multiplay'!G13,'Values and minus percentages'!$C$6:$C$62,0))</f>
        <v>0</v>
      </c>
      <c r="H45" s="15"/>
      <c r="I45" s="15">
        <f>INDEX('Values and minus percentages'!$G$6:$G$62,MATCH('Wholesale tariffs - multiplay'!I13,'Values and minus percentages'!$C$6:$C$62,0))</f>
        <v>0</v>
      </c>
      <c r="J45" s="15">
        <f>INDEX('Values and minus percentages'!$G$6:$G$62,MATCH('Wholesale tariffs - multiplay'!J13,'Values and minus percentages'!$C$6:$C$62,0))</f>
        <v>0</v>
      </c>
      <c r="K45" s="15">
        <f>INDEX('Values and minus percentages'!$G$6:$G$62,MATCH('Wholesale tariffs - multiplay'!K13,'Values and minus percentages'!$C$6:$C$62,0))</f>
        <v>0</v>
      </c>
      <c r="L45" s="15">
        <f>INDEX('Values and minus percentages'!$G$6:$G$62,MATCH('Wholesale tariffs - multiplay'!L13,'Values and minus percentages'!$C$6:$C$62,0))</f>
        <v>0</v>
      </c>
      <c r="M45" s="15">
        <f>INDEX('Values and minus percentages'!$G$6:$G$62,MATCH('Wholesale tariffs - multiplay'!M13,'Values and minus percentages'!$C$6:$C$62,0))</f>
        <v>0</v>
      </c>
      <c r="N45" s="15">
        <f>INDEX('Values and minus percentages'!$G$6:$G$62,MATCH('Wholesale tariffs - multiplay'!N13,'Values and minus percentages'!$C$6:$C$62,0))</f>
        <v>0</v>
      </c>
      <c r="O45" s="15">
        <f>INDEX('Values and minus percentages'!$G$6:$G$62,MATCH('Wholesale tariffs - multiplay'!O13,'Values and minus percentages'!$C$6:$C$62,0))</f>
        <v>0</v>
      </c>
      <c r="P45" s="15">
        <f>INDEX('Values and minus percentages'!$G$6:$G$62,MATCH('Wholesale tariffs - multiplay'!P13,'Values and minus percentages'!$C$6:$C$62,0))</f>
        <v>0</v>
      </c>
      <c r="Q45" s="15">
        <f>INDEX('Values and minus percentages'!$G$6:$G$62,MATCH('Wholesale tariffs - multiplay'!Q13,'Values and minus percentages'!$C$6:$C$62,0))</f>
        <v>0</v>
      </c>
      <c r="R45" s="15">
        <f>INDEX('Values and minus percentages'!$G$6:$G$62,MATCH('Wholesale tariffs - multiplay'!R13,'Values and minus percentages'!$C$6:$C$62,0))</f>
        <v>0</v>
      </c>
      <c r="S45" s="15"/>
      <c r="T45" s="15">
        <f>INDEX('Values and minus percentages'!$G$6:$G$62,MATCH('Wholesale tariffs - multiplay'!T13,'Values and minus percentages'!$C$6:$C$62,0))</f>
        <v>0</v>
      </c>
      <c r="U45" s="15">
        <f>INDEX('Values and minus percentages'!$G$6:$G$62,MATCH('Wholesale tariffs - multiplay'!U13,'Values and minus percentages'!$C$6:$C$62,0))</f>
        <v>0</v>
      </c>
      <c r="V45" s="15">
        <f>INDEX('Values and minus percentages'!$G$6:$G$62,MATCH('Wholesale tariffs - multiplay'!V13,'Values and minus percentages'!$C$6:$C$62,0))</f>
        <v>0</v>
      </c>
      <c r="W45" s="15">
        <f>INDEX('Values and minus percentages'!$G$6:$G$62,MATCH('Wholesale tariffs - multiplay'!W13,'Values and minus percentages'!$C$6:$C$62,0))</f>
        <v>0</v>
      </c>
      <c r="X45" s="15">
        <f>INDEX('Values and minus percentages'!$G$6:$G$62,MATCH('Wholesale tariffs - multiplay'!X13,'Values and minus percentages'!$C$6:$C$62,0))</f>
        <v>0</v>
      </c>
      <c r="Y45" s="15">
        <f>INDEX('Values and minus percentages'!$G$6:$G$62,MATCH('Wholesale tariffs - multiplay'!Y13,'Values and minus percentages'!$C$6:$C$62,0))</f>
        <v>0</v>
      </c>
      <c r="Z45" s="15">
        <f>INDEX('Values and minus percentages'!$G$6:$G$62,MATCH('Wholesale tariffs - multiplay'!Z13,'Values and minus percentages'!$C$6:$C$62,0))</f>
        <v>0</v>
      </c>
      <c r="AA45" s="15">
        <f>INDEX('Values and minus percentages'!$G$6:$G$62,MATCH('Wholesale tariffs - multiplay'!AA13,'Values and minus percentages'!$C$6:$C$62,0))</f>
        <v>0</v>
      </c>
      <c r="AB45" s="15">
        <f>INDEX('Values and minus percentages'!$G$6:$G$62,MATCH('Wholesale tariffs - multiplay'!AB13,'Values and minus percentages'!$C$6:$C$62,0))</f>
        <v>0</v>
      </c>
      <c r="AC45" s="15">
        <f>INDEX('Values and minus percentages'!$G$6:$G$62,MATCH('Wholesale tariffs - multiplay'!AC13,'Values and minus percentages'!$C$6:$C$62,0))</f>
        <v>0</v>
      </c>
      <c r="AD45" s="15"/>
      <c r="AE45" s="15">
        <f>INDEX('Values and minus percentages'!$G$6:$G$62,MATCH('Wholesale tariffs - multiplay'!AE13,'Values and minus percentages'!$C$6:$C$62,0))</f>
        <v>0</v>
      </c>
      <c r="AF45" s="15">
        <f>INDEX('Values and minus percentages'!$G$6:$G$62,MATCH('Wholesale tariffs - multiplay'!AF13,'Values and minus percentages'!$C$6:$C$62,0))</f>
        <v>0</v>
      </c>
      <c r="AG45" s="15">
        <f>INDEX('Values and minus percentages'!$G$6:$G$62,MATCH('Wholesale tariffs - multiplay'!AG13,'Values and minus percentages'!$C$6:$C$62,0))</f>
        <v>0</v>
      </c>
    </row>
    <row r="46" spans="1:33" outlineLevel="1" x14ac:dyDescent="0.2">
      <c r="C46" s="95" t="s">
        <v>246</v>
      </c>
      <c r="E46" s="15">
        <f>INDEX('Values and minus percentages'!$G$6:$G$62,MATCH('Wholesale tariffs - multiplay'!E14,'Values and minus percentages'!$C$6:$C$62,0))</f>
        <v>0</v>
      </c>
      <c r="F46" s="15">
        <f>INDEX('Values and minus percentages'!$G$6:$G$62,MATCH('Wholesale tariffs - multiplay'!F14,'Values and minus percentages'!$C$6:$C$62,0))</f>
        <v>17.93388429752066</v>
      </c>
      <c r="G46" s="15">
        <f>INDEX('Values and minus percentages'!$G$6:$G$62,MATCH('Wholesale tariffs - multiplay'!G14,'Values and minus percentages'!$C$6:$C$62,0))</f>
        <v>17.93388429752066</v>
      </c>
      <c r="H46" s="15"/>
      <c r="I46" s="15">
        <f>INDEX('Values and minus percentages'!$G$6:$G$62,MATCH('Wholesale tariffs - multiplay'!I14,'Values and minus percentages'!$C$6:$C$62,0))</f>
        <v>0</v>
      </c>
      <c r="J46" s="15">
        <f>INDEX('Values and minus percentages'!$G$6:$G$62,MATCH('Wholesale tariffs - multiplay'!J14,'Values and minus percentages'!$C$6:$C$62,0))</f>
        <v>0</v>
      </c>
      <c r="K46" s="15">
        <f>INDEX('Values and minus percentages'!$G$6:$G$62,MATCH('Wholesale tariffs - multiplay'!K14,'Values and minus percentages'!$C$6:$C$62,0))</f>
        <v>0</v>
      </c>
      <c r="L46" s="15">
        <f>INDEX('Values and minus percentages'!$G$6:$G$62,MATCH('Wholesale tariffs - multiplay'!L14,'Values and minus percentages'!$C$6:$C$62,0))</f>
        <v>0</v>
      </c>
      <c r="M46" s="15">
        <f>INDEX('Values and minus percentages'!$G$6:$G$62,MATCH('Wholesale tariffs - multiplay'!M14,'Values and minus percentages'!$C$6:$C$62,0))</f>
        <v>0</v>
      </c>
      <c r="N46" s="15">
        <f>INDEX('Values and minus percentages'!$G$6:$G$62,MATCH('Wholesale tariffs - multiplay'!N14,'Values and minus percentages'!$C$6:$C$62,0))</f>
        <v>7.3966942148760326</v>
      </c>
      <c r="O46" s="15">
        <f>INDEX('Values and minus percentages'!$G$6:$G$62,MATCH('Wholesale tariffs - multiplay'!O14,'Values and minus percentages'!$C$6:$C$62,0))</f>
        <v>7.3966942148760326</v>
      </c>
      <c r="P46" s="15">
        <f>INDEX('Values and minus percentages'!$G$6:$G$62,MATCH('Wholesale tariffs - multiplay'!P14,'Values and minus percentages'!$C$6:$C$62,0))</f>
        <v>15.661157024793388</v>
      </c>
      <c r="Q46" s="15">
        <f>INDEX('Values and minus percentages'!$G$6:$G$62,MATCH('Wholesale tariffs - multiplay'!Q14,'Values and minus percentages'!$C$6:$C$62,0))</f>
        <v>15.661157024793388</v>
      </c>
      <c r="R46" s="15">
        <f>INDEX('Values and minus percentages'!$G$6:$G$62,MATCH('Wholesale tariffs - multiplay'!R14,'Values and minus percentages'!$C$6:$C$62,0))</f>
        <v>15.661157024793388</v>
      </c>
      <c r="S46" s="15"/>
      <c r="T46" s="15">
        <f>INDEX('Values and minus percentages'!$G$6:$G$62,MATCH('Wholesale tariffs - multiplay'!T14,'Values and minus percentages'!$C$6:$C$62,0))</f>
        <v>0</v>
      </c>
      <c r="U46" s="15">
        <f>INDEX('Values and minus percentages'!$G$6:$G$62,MATCH('Wholesale tariffs - multiplay'!U14,'Values and minus percentages'!$C$6:$C$62,0))</f>
        <v>0</v>
      </c>
      <c r="V46" s="15">
        <f>INDEX('Values and minus percentages'!$G$6:$G$62,MATCH('Wholesale tariffs - multiplay'!V14,'Values and minus percentages'!$C$6:$C$62,0))</f>
        <v>0</v>
      </c>
      <c r="W46" s="15">
        <f>INDEX('Values and minus percentages'!$G$6:$G$62,MATCH('Wholesale tariffs - multiplay'!W14,'Values and minus percentages'!$C$6:$C$62,0))</f>
        <v>0</v>
      </c>
      <c r="X46" s="15">
        <f>INDEX('Values and minus percentages'!$G$6:$G$62,MATCH('Wholesale tariffs - multiplay'!X14,'Values and minus percentages'!$C$6:$C$62,0))</f>
        <v>0</v>
      </c>
      <c r="Y46" s="15">
        <f>INDEX('Values and minus percentages'!$G$6:$G$62,MATCH('Wholesale tariffs - multiplay'!Y14,'Values and minus percentages'!$C$6:$C$62,0))</f>
        <v>7.3966942148760326</v>
      </c>
      <c r="Z46" s="15">
        <f>INDEX('Values and minus percentages'!$G$6:$G$62,MATCH('Wholesale tariffs - multiplay'!Z14,'Values and minus percentages'!$C$6:$C$62,0))</f>
        <v>7.3966942148760326</v>
      </c>
      <c r="AA46" s="15">
        <f>INDEX('Values and minus percentages'!$G$6:$G$62,MATCH('Wholesale tariffs - multiplay'!AA14,'Values and minus percentages'!$C$6:$C$62,0))</f>
        <v>15.661157024793388</v>
      </c>
      <c r="AB46" s="15">
        <f>INDEX('Values and minus percentages'!$G$6:$G$62,MATCH('Wholesale tariffs - multiplay'!AB14,'Values and minus percentages'!$C$6:$C$62,0))</f>
        <v>15.661157024793388</v>
      </c>
      <c r="AC46" s="15">
        <f>INDEX('Values and minus percentages'!$G$6:$G$62,MATCH('Wholesale tariffs - multiplay'!AC14,'Values and minus percentages'!$C$6:$C$62,0))</f>
        <v>15.661157024793388</v>
      </c>
      <c r="AD46" s="15"/>
      <c r="AE46" s="15">
        <f>INDEX('Values and minus percentages'!$G$6:$G$62,MATCH('Wholesale tariffs - multiplay'!AE14,'Values and minus percentages'!$C$6:$C$62,0))</f>
        <v>10.991735537190083</v>
      </c>
      <c r="AF46" s="15">
        <f>INDEX('Values and minus percentages'!$G$6:$G$62,MATCH('Wholesale tariffs - multiplay'!AF14,'Values and minus percentages'!$C$6:$C$62,0))</f>
        <v>16.942148760330578</v>
      </c>
      <c r="AG46" s="15">
        <f>INDEX('Values and minus percentages'!$G$6:$G$62,MATCH('Wholesale tariffs - multiplay'!AG14,'Values and minus percentages'!$C$6:$C$62,0))</f>
        <v>16.942148760330578</v>
      </c>
    </row>
    <row r="47" spans="1:33" outlineLevel="1" x14ac:dyDescent="0.2">
      <c r="C47" s="95" t="s">
        <v>247</v>
      </c>
      <c r="E47" s="15">
        <f>INDEX('Values and minus percentages'!$G$6:$G$62,MATCH('Wholesale tariffs - multiplay'!E15,'Values and minus percentages'!$C$6:$C$62,0))</f>
        <v>0</v>
      </c>
      <c r="F47" s="15">
        <f>INDEX('Values and minus percentages'!$G$6:$G$62,MATCH('Wholesale tariffs - multiplay'!F15,'Values and minus percentages'!$C$6:$C$62,0))</f>
        <v>0</v>
      </c>
      <c r="G47" s="15">
        <f>INDEX('Values and minus percentages'!$G$6:$G$62,MATCH('Wholesale tariffs - multiplay'!G15,'Values and minus percentages'!$C$6:$C$62,0))</f>
        <v>0</v>
      </c>
      <c r="H47" s="15"/>
      <c r="I47" s="15">
        <f>INDEX('Values and minus percentages'!$G$6:$G$62,MATCH('Wholesale tariffs - multiplay'!I15,'Values and minus percentages'!$C$6:$C$62,0))</f>
        <v>0</v>
      </c>
      <c r="J47" s="15">
        <f>INDEX('Values and minus percentages'!$G$6:$G$62,MATCH('Wholesale tariffs - multiplay'!J15,'Values and minus percentages'!$C$6:$C$62,0))</f>
        <v>0</v>
      </c>
      <c r="K47" s="15">
        <f>INDEX('Values and minus percentages'!$G$6:$G$62,MATCH('Wholesale tariffs - multiplay'!K15,'Values and minus percentages'!$C$6:$C$62,0))</f>
        <v>0</v>
      </c>
      <c r="L47" s="15">
        <f>INDEX('Values and minus percentages'!$G$6:$G$62,MATCH('Wholesale tariffs - multiplay'!L15,'Values and minus percentages'!$C$6:$C$62,0))</f>
        <v>0</v>
      </c>
      <c r="M47" s="15">
        <f>INDEX('Values and minus percentages'!$G$6:$G$62,MATCH('Wholesale tariffs - multiplay'!M15,'Values and minus percentages'!$C$6:$C$62,0))</f>
        <v>0</v>
      </c>
      <c r="N47" s="15">
        <f>INDEX('Values and minus percentages'!$G$6:$G$62,MATCH('Wholesale tariffs - multiplay'!N15,'Values and minus percentages'!$C$6:$C$62,0))</f>
        <v>0</v>
      </c>
      <c r="O47" s="15">
        <f>INDEX('Values and minus percentages'!$G$6:$G$62,MATCH('Wholesale tariffs - multiplay'!O15,'Values and minus percentages'!$C$6:$C$62,0))</f>
        <v>0</v>
      </c>
      <c r="P47" s="15">
        <f>INDEX('Values and minus percentages'!$G$6:$G$62,MATCH('Wholesale tariffs - multiplay'!P15,'Values and minus percentages'!$C$6:$C$62,0))</f>
        <v>0</v>
      </c>
      <c r="Q47" s="15">
        <f>INDEX('Values and minus percentages'!$G$6:$G$62,MATCH('Wholesale tariffs - multiplay'!Q15,'Values and minus percentages'!$C$6:$C$62,0))</f>
        <v>0</v>
      </c>
      <c r="R47" s="15">
        <f>INDEX('Values and minus percentages'!$G$6:$G$62,MATCH('Wholesale tariffs - multiplay'!R15,'Values and minus percentages'!$C$6:$C$62,0))</f>
        <v>0</v>
      </c>
      <c r="S47" s="15"/>
      <c r="T47" s="15">
        <f>INDEX('Values and minus percentages'!$G$6:$G$62,MATCH('Wholesale tariffs - multiplay'!T15,'Values and minus percentages'!$C$6:$C$62,0))</f>
        <v>0</v>
      </c>
      <c r="U47" s="15">
        <f>INDEX('Values and minus percentages'!$G$6:$G$62,MATCH('Wholesale tariffs - multiplay'!U15,'Values and minus percentages'!$C$6:$C$62,0))</f>
        <v>0</v>
      </c>
      <c r="V47" s="15">
        <f>INDEX('Values and minus percentages'!$G$6:$G$62,MATCH('Wholesale tariffs - multiplay'!V15,'Values and minus percentages'!$C$6:$C$62,0))</f>
        <v>0</v>
      </c>
      <c r="W47" s="15">
        <f>INDEX('Values and minus percentages'!$G$6:$G$62,MATCH('Wholesale tariffs - multiplay'!W15,'Values and minus percentages'!$C$6:$C$62,0))</f>
        <v>0</v>
      </c>
      <c r="X47" s="15">
        <f>INDEX('Values and minus percentages'!$G$6:$G$62,MATCH('Wholesale tariffs - multiplay'!X15,'Values and minus percentages'!$C$6:$C$62,0))</f>
        <v>0</v>
      </c>
      <c r="Y47" s="15">
        <f>INDEX('Values and minus percentages'!$G$6:$G$62,MATCH('Wholesale tariffs - multiplay'!Y15,'Values and minus percentages'!$C$6:$C$62,0))</f>
        <v>0</v>
      </c>
      <c r="Z47" s="15">
        <f>INDEX('Values and minus percentages'!$G$6:$G$62,MATCH('Wholesale tariffs - multiplay'!Z15,'Values and minus percentages'!$C$6:$C$62,0))</f>
        <v>0</v>
      </c>
      <c r="AA47" s="15">
        <f>INDEX('Values and minus percentages'!$G$6:$G$62,MATCH('Wholesale tariffs - multiplay'!AA15,'Values and minus percentages'!$C$6:$C$62,0))</f>
        <v>0</v>
      </c>
      <c r="AB47" s="15">
        <f>INDEX('Values and minus percentages'!$G$6:$G$62,MATCH('Wholesale tariffs - multiplay'!AB15,'Values and minus percentages'!$C$6:$C$62,0))</f>
        <v>0</v>
      </c>
      <c r="AC47" s="15">
        <f>INDEX('Values and minus percentages'!$G$6:$G$62,MATCH('Wholesale tariffs - multiplay'!AC15,'Values and minus percentages'!$C$6:$C$62,0))</f>
        <v>0</v>
      </c>
      <c r="AD47" s="15"/>
      <c r="AE47" s="15">
        <f>INDEX('Values and minus percentages'!$G$6:$G$62,MATCH('Wholesale tariffs - multiplay'!AE15,'Values and minus percentages'!$C$6:$C$62,0))</f>
        <v>0</v>
      </c>
      <c r="AF47" s="15">
        <f>INDEX('Values and minus percentages'!$G$6:$G$62,MATCH('Wholesale tariffs - multiplay'!AF15,'Values and minus percentages'!$C$6:$C$62,0))</f>
        <v>0</v>
      </c>
      <c r="AG47" s="15">
        <f>INDEX('Values and minus percentages'!$G$6:$G$62,MATCH('Wholesale tariffs - multiplay'!AG15,'Values and minus percentages'!$C$6:$C$62,0))</f>
        <v>10.330578512396695</v>
      </c>
    </row>
    <row r="48" spans="1:33" ht="12" x14ac:dyDescent="0.2">
      <c r="A48" s="41"/>
      <c r="C48" s="78" t="s">
        <v>91</v>
      </c>
      <c r="E48" s="83">
        <f>SUM(E40:E47)</f>
        <v>42.026859504132233</v>
      </c>
      <c r="F48" s="83">
        <f t="shared" ref="F48:G48" si="15">SUM(F40:F47)</f>
        <v>78.473140495867767</v>
      </c>
      <c r="G48" s="83">
        <f t="shared" si="15"/>
        <v>96.159090909090921</v>
      </c>
      <c r="H48" s="83"/>
      <c r="I48" s="83">
        <f t="shared" ref="I48" si="16">SUM(I40:I47)</f>
        <v>35.933884297520663</v>
      </c>
      <c r="J48" s="83">
        <f t="shared" ref="J48" si="17">SUM(J40:J47)</f>
        <v>45.024793388429757</v>
      </c>
      <c r="K48" s="83">
        <f t="shared" ref="K48" si="18">SUM(K40:K47)</f>
        <v>55.334710743801658</v>
      </c>
      <c r="L48" s="83">
        <f t="shared" ref="L48" si="19">SUM(L40:L47)</f>
        <v>64.425619834710744</v>
      </c>
      <c r="M48" s="83">
        <f t="shared" ref="M48" si="20">SUM(M40:M47)</f>
        <v>80.954545454545453</v>
      </c>
      <c r="N48" s="83">
        <f t="shared" ref="N48" si="21">SUM(N40:N47)</f>
        <v>43.330578512396698</v>
      </c>
      <c r="O48" s="83">
        <f t="shared" ref="O48" si="22">SUM(O40:O47)</f>
        <v>52.421487603305792</v>
      </c>
      <c r="P48" s="83">
        <f t="shared" ref="P48" si="23">SUM(P40:P47)</f>
        <v>70.995867768595048</v>
      </c>
      <c r="Q48" s="83">
        <f t="shared" ref="Q48" si="24">SUM(Q40:Q47)</f>
        <v>80.086776859504127</v>
      </c>
      <c r="R48" s="83">
        <f t="shared" ref="R48" si="25">SUM(R40:R47)</f>
        <v>96.615702479338836</v>
      </c>
      <c r="S48" s="83"/>
      <c r="T48" s="83">
        <f t="shared" ref="T48" si="26">SUM(T40:T47)</f>
        <v>35.933884297520663</v>
      </c>
      <c r="U48" s="83">
        <f t="shared" ref="U48" si="27">SUM(U40:U47)</f>
        <v>45.024793388429757</v>
      </c>
      <c r="V48" s="83">
        <f t="shared" ref="V48" si="28">SUM(V40:V47)</f>
        <v>55.334710743801658</v>
      </c>
      <c r="W48" s="83">
        <f t="shared" ref="W48" si="29">SUM(W40:W47)</f>
        <v>64.425619834710744</v>
      </c>
      <c r="X48" s="83">
        <f t="shared" ref="X48" si="30">SUM(X40:X47)</f>
        <v>80.954545454545453</v>
      </c>
      <c r="Y48" s="83">
        <f t="shared" ref="Y48" si="31">SUM(Y40:Y47)</f>
        <v>43.330578512396698</v>
      </c>
      <c r="Z48" s="83">
        <f t="shared" ref="Z48" si="32">SUM(Z40:Z47)</f>
        <v>52.421487603305792</v>
      </c>
      <c r="AA48" s="83">
        <f t="shared" ref="AA48" si="33">SUM(AA40:AA47)</f>
        <v>70.995867768595048</v>
      </c>
      <c r="AB48" s="83">
        <f t="shared" ref="AB48" si="34">SUM(AB40:AB47)</f>
        <v>80.086776859504127</v>
      </c>
      <c r="AC48" s="83">
        <f t="shared" ref="AC48" si="35">SUM(AC40:AC47)</f>
        <v>96.615702479338836</v>
      </c>
      <c r="AD48" s="83"/>
      <c r="AE48" s="83">
        <f t="shared" ref="AE48" si="36">SUM(AE40:AE47)</f>
        <v>57.024793388429757</v>
      </c>
      <c r="AF48" s="83">
        <f t="shared" ref="AF48" si="37">SUM(AF40:AF47)</f>
        <v>79.504132231404967</v>
      </c>
      <c r="AG48" s="83">
        <f t="shared" ref="AG48" si="38">SUM(AG40:AG47)</f>
        <v>99.173553719008268</v>
      </c>
    </row>
    <row r="50" spans="3:33" ht="12" x14ac:dyDescent="0.2">
      <c r="C50" s="59" t="s">
        <v>264</v>
      </c>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row>
    <row r="52" spans="3:33" x14ac:dyDescent="0.2">
      <c r="C52" t="s">
        <v>185</v>
      </c>
      <c r="E52" s="96">
        <f>(E35/E48)-1</f>
        <v>-0.12536256821198566</v>
      </c>
      <c r="F52" s="96">
        <f>(F35/F48)-1</f>
        <v>-0.40072667912903825</v>
      </c>
      <c r="G52" s="96">
        <f>(G35/G48)-1</f>
        <v>-0.42113405384499702</v>
      </c>
      <c r="I52" s="96">
        <f t="shared" ref="I52:R52" si="39">(I35/I48)-1</f>
        <v>-0.27483900643974257</v>
      </c>
      <c r="J52" s="96">
        <f t="shared" si="39"/>
        <v>-0.23770190895741572</v>
      </c>
      <c r="K52" s="96">
        <f t="shared" si="39"/>
        <v>-0.23037861250093361</v>
      </c>
      <c r="L52" s="96">
        <f t="shared" si="39"/>
        <v>-0.21069847989224566</v>
      </c>
      <c r="M52" s="96">
        <f t="shared" si="39"/>
        <v>-0.16767903629217495</v>
      </c>
      <c r="N52" s="96">
        <f t="shared" si="39"/>
        <v>-0.24604234217051324</v>
      </c>
      <c r="O52" s="96">
        <f t="shared" si="39"/>
        <v>-0.21913920857638358</v>
      </c>
      <c r="P52" s="96">
        <f t="shared" si="39"/>
        <v>-0.30702520225830865</v>
      </c>
      <c r="Q52" s="96">
        <f t="shared" si="39"/>
        <v>-0.28249316340746089</v>
      </c>
      <c r="R52" s="96">
        <f t="shared" si="39"/>
        <v>-0.23416449253667493</v>
      </c>
      <c r="T52" s="96">
        <f t="shared" ref="T52:AC52" si="40">(T35/T48)-1</f>
        <v>-0.27483900643974257</v>
      </c>
      <c r="U52" s="96">
        <f t="shared" si="40"/>
        <v>-0.23770190895741572</v>
      </c>
      <c r="V52" s="96">
        <f t="shared" si="40"/>
        <v>-0.23037861250093361</v>
      </c>
      <c r="W52" s="96">
        <f t="shared" si="40"/>
        <v>-0.21069847989224566</v>
      </c>
      <c r="X52" s="96">
        <f t="shared" si="40"/>
        <v>-0.16767903629217495</v>
      </c>
      <c r="Y52" s="96">
        <f t="shared" si="40"/>
        <v>-0.24604234217051324</v>
      </c>
      <c r="Z52" s="96">
        <f t="shared" si="40"/>
        <v>-0.21913920857638358</v>
      </c>
      <c r="AA52" s="96">
        <f t="shared" si="40"/>
        <v>-0.30702520225830865</v>
      </c>
      <c r="AB52" s="96">
        <f t="shared" si="40"/>
        <v>-0.28249316340746089</v>
      </c>
      <c r="AC52" s="96">
        <f t="shared" si="40"/>
        <v>-0.23416449253667493</v>
      </c>
      <c r="AE52" s="96">
        <f>(AE35/AE48)-1</f>
        <v>-0.50144927536231898</v>
      </c>
      <c r="AF52" s="96">
        <f>(AF35/AF48)-1</f>
        <v>-0.53846153846153855</v>
      </c>
      <c r="AG52" s="96">
        <f>(AG35/AG48)-1</f>
        <v>-0.54666666666666663</v>
      </c>
    </row>
    <row r="54" spans="3:33" s="41" customFormat="1" x14ac:dyDescent="0.2">
      <c r="C54" s="41" t="s">
        <v>265</v>
      </c>
      <c r="E54" s="115">
        <f>(E40+E41)*(1+E52)</f>
        <v>28.183564847450146</v>
      </c>
      <c r="F54" s="115">
        <f>(F40+F41)*(1+F52)</f>
        <v>30.404453858073008</v>
      </c>
      <c r="G54" s="115">
        <f>(G40+G41)*(1+G52)</f>
        <v>39.606869158820416</v>
      </c>
      <c r="H54" s="106"/>
      <c r="I54" s="115">
        <f t="shared" ref="I54:R54" si="41">(I40+I41)*(1+I52)</f>
        <v>23.061318208428681</v>
      </c>
      <c r="J54" s="115">
        <f t="shared" si="41"/>
        <v>31.172321937840554</v>
      </c>
      <c r="K54" s="115">
        <f t="shared" si="41"/>
        <v>37.832297626813613</v>
      </c>
      <c r="L54" s="115">
        <f t="shared" si="41"/>
        <v>45.975182758012011</v>
      </c>
      <c r="M54" s="115">
        <f t="shared" si="41"/>
        <v>62.238347765523976</v>
      </c>
      <c r="N54" s="115">
        <f t="shared" si="41"/>
        <v>23.977099729982356</v>
      </c>
      <c r="O54" s="115">
        <f t="shared" si="41"/>
        <v>31.931398313752513</v>
      </c>
      <c r="P54" s="115">
        <f t="shared" si="41"/>
        <v>34.064579313781657</v>
      </c>
      <c r="Q54" s="115">
        <f t="shared" si="41"/>
        <v>41.793290779373685</v>
      </c>
      <c r="R54" s="115">
        <f t="shared" si="41"/>
        <v>57.266774144860868</v>
      </c>
      <c r="S54" s="106"/>
      <c r="T54" s="115">
        <f t="shared" ref="T54:AC54" si="42">(T40+T41)*(1+T52)</f>
        <v>23.061318208428681</v>
      </c>
      <c r="U54" s="115">
        <f t="shared" si="42"/>
        <v>31.172321937840554</v>
      </c>
      <c r="V54" s="115">
        <f t="shared" si="42"/>
        <v>37.832297626813613</v>
      </c>
      <c r="W54" s="115">
        <f t="shared" si="42"/>
        <v>45.975182758012011</v>
      </c>
      <c r="X54" s="115">
        <f t="shared" si="42"/>
        <v>62.238347765523976</v>
      </c>
      <c r="Y54" s="115">
        <f t="shared" si="42"/>
        <v>23.977099729982356</v>
      </c>
      <c r="Z54" s="115">
        <f t="shared" si="42"/>
        <v>31.931398313752513</v>
      </c>
      <c r="AA54" s="115">
        <f t="shared" si="42"/>
        <v>34.064579313781657</v>
      </c>
      <c r="AB54" s="115">
        <f t="shared" si="42"/>
        <v>41.793290779373685</v>
      </c>
      <c r="AC54" s="115">
        <f t="shared" si="42"/>
        <v>57.266774144860868</v>
      </c>
      <c r="AD54" s="106"/>
      <c r="AE54" s="115">
        <f>(AE40+AE41)*(1+AE52)</f>
        <v>20.889687387711099</v>
      </c>
      <c r="AF54" s="115">
        <f>(AF40+AF41)*(1+AF52)</f>
        <v>26.967577876668781</v>
      </c>
      <c r="AG54" s="115">
        <f>(AG40+AG41)*(1+AG52)</f>
        <v>30.234710743801656</v>
      </c>
    </row>
    <row r="55" spans="3:33" s="41" customFormat="1" x14ac:dyDescent="0.2"/>
    <row r="56" spans="3:33" s="41" customFormat="1" ht="12" x14ac:dyDescent="0.2">
      <c r="C56" s="59" t="s">
        <v>266</v>
      </c>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row>
    <row r="57" spans="3:33" s="41" customFormat="1" x14ac:dyDescent="0.2"/>
    <row r="58" spans="3:33" s="41" customFormat="1" ht="12" x14ac:dyDescent="0.2">
      <c r="C58" s="78" t="s">
        <v>269</v>
      </c>
    </row>
    <row r="59" spans="3:33" s="41" customFormat="1" outlineLevel="1" x14ac:dyDescent="0.2">
      <c r="C59" s="95" t="s">
        <v>267</v>
      </c>
      <c r="E59" s="94" t="s">
        <v>157</v>
      </c>
      <c r="F59" s="94" t="s">
        <v>157</v>
      </c>
      <c r="G59" s="94" t="s">
        <v>157</v>
      </c>
      <c r="I59" s="94" t="s">
        <v>158</v>
      </c>
      <c r="J59" s="94" t="s">
        <v>158</v>
      </c>
      <c r="K59" s="94" t="s">
        <v>158</v>
      </c>
      <c r="L59" s="94" t="s">
        <v>158</v>
      </c>
      <c r="M59" s="94" t="s">
        <v>158</v>
      </c>
      <c r="N59" s="94" t="s">
        <v>158</v>
      </c>
      <c r="O59" s="94" t="s">
        <v>158</v>
      </c>
      <c r="P59" s="94" t="s">
        <v>158</v>
      </c>
      <c r="Q59" s="94" t="s">
        <v>158</v>
      </c>
      <c r="R59" s="94" t="s">
        <v>158</v>
      </c>
      <c r="T59" s="94" t="s">
        <v>158</v>
      </c>
      <c r="U59" s="94" t="s">
        <v>158</v>
      </c>
      <c r="V59" s="94" t="s">
        <v>158</v>
      </c>
      <c r="W59" s="94" t="s">
        <v>158</v>
      </c>
      <c r="X59" s="94" t="s">
        <v>158</v>
      </c>
      <c r="Y59" s="94" t="s">
        <v>158</v>
      </c>
      <c r="Z59" s="94" t="s">
        <v>158</v>
      </c>
      <c r="AA59" s="94" t="s">
        <v>158</v>
      </c>
      <c r="AB59" s="94" t="s">
        <v>158</v>
      </c>
      <c r="AC59" s="94" t="s">
        <v>158</v>
      </c>
      <c r="AE59" s="94" t="s">
        <v>159</v>
      </c>
      <c r="AF59" s="94" t="s">
        <v>159</v>
      </c>
      <c r="AG59" s="94" t="s">
        <v>159</v>
      </c>
    </row>
    <row r="60" spans="3:33" s="41" customFormat="1" outlineLevel="1" x14ac:dyDescent="0.2">
      <c r="C60" s="95" t="s">
        <v>268</v>
      </c>
      <c r="E60" s="94" t="s">
        <v>160</v>
      </c>
      <c r="F60" s="94" t="s">
        <v>160</v>
      </c>
      <c r="G60" s="94" t="s">
        <v>160</v>
      </c>
      <c r="I60" s="94" t="s">
        <v>133</v>
      </c>
      <c r="J60" s="94" t="s">
        <v>133</v>
      </c>
      <c r="K60" s="94" t="s">
        <v>133</v>
      </c>
      <c r="L60" s="94" t="s">
        <v>133</v>
      </c>
      <c r="M60" s="94" t="s">
        <v>133</v>
      </c>
      <c r="N60" s="94" t="s">
        <v>133</v>
      </c>
      <c r="O60" s="94" t="s">
        <v>133</v>
      </c>
      <c r="P60" s="94" t="s">
        <v>133</v>
      </c>
      <c r="Q60" s="94" t="s">
        <v>133</v>
      </c>
      <c r="R60" s="94" t="s">
        <v>133</v>
      </c>
      <c r="T60" s="94" t="s">
        <v>133</v>
      </c>
      <c r="U60" s="94" t="s">
        <v>133</v>
      </c>
      <c r="V60" s="94" t="s">
        <v>133</v>
      </c>
      <c r="W60" s="94" t="s">
        <v>133</v>
      </c>
      <c r="X60" s="94" t="s">
        <v>133</v>
      </c>
      <c r="Y60" s="94" t="s">
        <v>133</v>
      </c>
      <c r="Z60" s="94" t="s">
        <v>133</v>
      </c>
      <c r="AA60" s="94" t="s">
        <v>133</v>
      </c>
      <c r="AB60" s="94" t="s">
        <v>133</v>
      </c>
      <c r="AC60" s="94" t="s">
        <v>133</v>
      </c>
      <c r="AE60" s="94" t="s">
        <v>161</v>
      </c>
      <c r="AF60" s="94" t="s">
        <v>161</v>
      </c>
      <c r="AG60" s="94" t="s">
        <v>161</v>
      </c>
    </row>
    <row r="61" spans="3:33" s="41" customFormat="1" outlineLevel="1" x14ac:dyDescent="0.2">
      <c r="C61" s="95" t="s">
        <v>96</v>
      </c>
      <c r="E61" s="94" t="s">
        <v>153</v>
      </c>
      <c r="F61" s="94" t="s">
        <v>153</v>
      </c>
      <c r="G61" s="94" t="s">
        <v>153</v>
      </c>
      <c r="I61" s="94" t="s">
        <v>133</v>
      </c>
      <c r="J61" s="94" t="s">
        <v>133</v>
      </c>
      <c r="K61" s="94" t="s">
        <v>133</v>
      </c>
      <c r="L61" s="94" t="s">
        <v>133</v>
      </c>
      <c r="M61" s="94" t="s">
        <v>133</v>
      </c>
      <c r="N61" s="94" t="s">
        <v>133</v>
      </c>
      <c r="O61" s="94" t="s">
        <v>133</v>
      </c>
      <c r="P61" s="94" t="s">
        <v>133</v>
      </c>
      <c r="Q61" s="94" t="s">
        <v>133</v>
      </c>
      <c r="R61" s="94" t="s">
        <v>133</v>
      </c>
      <c r="T61" s="94" t="s">
        <v>133</v>
      </c>
      <c r="U61" s="94" t="s">
        <v>133</v>
      </c>
      <c r="V61" s="94" t="s">
        <v>133</v>
      </c>
      <c r="W61" s="94" t="s">
        <v>133</v>
      </c>
      <c r="X61" s="94" t="s">
        <v>133</v>
      </c>
      <c r="Y61" s="94" t="s">
        <v>133</v>
      </c>
      <c r="Z61" s="94" t="s">
        <v>133</v>
      </c>
      <c r="AA61" s="94" t="s">
        <v>133</v>
      </c>
      <c r="AB61" s="94" t="s">
        <v>133</v>
      </c>
      <c r="AC61" s="94" t="s">
        <v>133</v>
      </c>
      <c r="AE61" s="94" t="s">
        <v>200</v>
      </c>
      <c r="AF61" s="94" t="s">
        <v>200</v>
      </c>
      <c r="AG61" s="94" t="s">
        <v>200</v>
      </c>
    </row>
    <row r="62" spans="3:33" s="41" customFormat="1" outlineLevel="1" x14ac:dyDescent="0.2">
      <c r="C62" s="95" t="s">
        <v>149</v>
      </c>
      <c r="E62" s="94" t="s">
        <v>165</v>
      </c>
      <c r="F62" s="94" t="s">
        <v>165</v>
      </c>
      <c r="G62" s="94" t="s">
        <v>165</v>
      </c>
      <c r="I62" s="94" t="s">
        <v>166</v>
      </c>
      <c r="J62" s="94" t="s">
        <v>166</v>
      </c>
      <c r="K62" s="94" t="s">
        <v>166</v>
      </c>
      <c r="L62" s="94" t="s">
        <v>166</v>
      </c>
      <c r="M62" s="94" t="s">
        <v>166</v>
      </c>
      <c r="N62" s="94" t="s">
        <v>166</v>
      </c>
      <c r="O62" s="94" t="s">
        <v>166</v>
      </c>
      <c r="P62" s="94" t="s">
        <v>166</v>
      </c>
      <c r="Q62" s="94" t="s">
        <v>166</v>
      </c>
      <c r="R62" s="94" t="s">
        <v>166</v>
      </c>
      <c r="T62" s="94" t="s">
        <v>166</v>
      </c>
      <c r="U62" s="94" t="s">
        <v>166</v>
      </c>
      <c r="V62" s="94" t="s">
        <v>166</v>
      </c>
      <c r="W62" s="94" t="s">
        <v>166</v>
      </c>
      <c r="X62" s="94" t="s">
        <v>166</v>
      </c>
      <c r="Y62" s="94" t="s">
        <v>166</v>
      </c>
      <c r="Z62" s="94" t="s">
        <v>166</v>
      </c>
      <c r="AA62" s="94" t="s">
        <v>166</v>
      </c>
      <c r="AB62" s="94" t="s">
        <v>166</v>
      </c>
      <c r="AC62" s="94" t="s">
        <v>166</v>
      </c>
      <c r="AE62" s="94" t="s">
        <v>167</v>
      </c>
      <c r="AF62" s="94" t="s">
        <v>167</v>
      </c>
      <c r="AG62" s="94" t="s">
        <v>167</v>
      </c>
    </row>
    <row r="63" spans="3:33" s="41" customFormat="1" x14ac:dyDescent="0.2"/>
    <row r="64" spans="3:33" s="41" customFormat="1" ht="12" x14ac:dyDescent="0.2">
      <c r="C64" s="78" t="s">
        <v>270</v>
      </c>
      <c r="E64" s="83">
        <f>SUM(E65:E68)</f>
        <v>4.9586776859504136</v>
      </c>
      <c r="F64" s="83">
        <f t="shared" ref="F64:G64" si="43">SUM(F65:F68)</f>
        <v>4.9586776859504136</v>
      </c>
      <c r="G64" s="83">
        <f t="shared" si="43"/>
        <v>4.9586776859504136</v>
      </c>
      <c r="I64" s="83">
        <f t="shared" ref="I64" si="44">SUM(I65:I68)</f>
        <v>3.7190082644628104</v>
      </c>
      <c r="J64" s="83">
        <f t="shared" ref="J64" si="45">SUM(J65:J68)</f>
        <v>3.7190082644628104</v>
      </c>
      <c r="K64" s="83">
        <f t="shared" ref="K64" si="46">SUM(K65:K68)</f>
        <v>3.7190082644628104</v>
      </c>
      <c r="L64" s="83">
        <f t="shared" ref="L64" si="47">SUM(L65:L68)</f>
        <v>3.7190082644628104</v>
      </c>
      <c r="M64" s="83">
        <f t="shared" ref="M64" si="48">SUM(M65:M68)</f>
        <v>3.7190082644628104</v>
      </c>
      <c r="N64" s="83">
        <f t="shared" ref="N64" si="49">SUM(N65:N68)</f>
        <v>3.7190082644628104</v>
      </c>
      <c r="O64" s="83">
        <f t="shared" ref="O64" si="50">SUM(O65:O68)</f>
        <v>3.7190082644628104</v>
      </c>
      <c r="P64" s="83">
        <f t="shared" ref="P64" si="51">SUM(P65:P68)</f>
        <v>3.7190082644628104</v>
      </c>
      <c r="Q64" s="83">
        <f t="shared" ref="Q64" si="52">SUM(Q65:Q68)</f>
        <v>3.7190082644628104</v>
      </c>
      <c r="R64" s="83">
        <f t="shared" ref="R64" si="53">SUM(R65:R68)</f>
        <v>3.7190082644628104</v>
      </c>
      <c r="S64" s="83">
        <f t="shared" ref="S64" si="54">SUM(S65:S68)</f>
        <v>0</v>
      </c>
      <c r="T64" s="83">
        <f t="shared" ref="T64" si="55">SUM(T65:T68)</f>
        <v>3.7190082644628104</v>
      </c>
      <c r="U64" s="83">
        <f t="shared" ref="U64" si="56">SUM(U65:U68)</f>
        <v>3.7190082644628104</v>
      </c>
      <c r="V64" s="83">
        <f t="shared" ref="V64" si="57">SUM(V65:V68)</f>
        <v>3.7190082644628104</v>
      </c>
      <c r="W64" s="83">
        <f t="shared" ref="W64" si="58">SUM(W65:W68)</f>
        <v>3.7190082644628104</v>
      </c>
      <c r="X64" s="83">
        <f t="shared" ref="X64" si="59">SUM(X65:X68)</f>
        <v>3.7190082644628104</v>
      </c>
      <c r="Y64" s="83">
        <f t="shared" ref="Y64" si="60">SUM(Y65:Y68)</f>
        <v>3.7190082644628104</v>
      </c>
      <c r="Z64" s="83">
        <f t="shared" ref="Z64" si="61">SUM(Z65:Z68)</f>
        <v>3.7190082644628104</v>
      </c>
      <c r="AA64" s="83">
        <f t="shared" ref="AA64" si="62">SUM(AA65:AA68)</f>
        <v>3.7190082644628104</v>
      </c>
      <c r="AB64" s="83">
        <f t="shared" ref="AB64" si="63">SUM(AB65:AB68)</f>
        <v>3.7190082644628104</v>
      </c>
      <c r="AC64" s="83">
        <f t="shared" ref="AC64" si="64">SUM(AC65:AC68)</f>
        <v>3.7190082644628104</v>
      </c>
      <c r="AD64" s="83">
        <f t="shared" ref="AD64" si="65">SUM(AD65:AD68)</f>
        <v>0</v>
      </c>
      <c r="AE64" s="83">
        <f t="shared" ref="AE64" si="66">SUM(AE65:AE68)</f>
        <v>1.9008264462809918</v>
      </c>
      <c r="AF64" s="83">
        <f t="shared" ref="AF64" si="67">SUM(AF65:AF68)</f>
        <v>1.9008264462809918</v>
      </c>
      <c r="AG64" s="83">
        <f t="shared" ref="AG64" si="68">SUM(AG65:AG68)</f>
        <v>1.9008264462809918</v>
      </c>
    </row>
    <row r="65" spans="1:33" outlineLevel="1" x14ac:dyDescent="0.2">
      <c r="C65" s="95" t="s">
        <v>267</v>
      </c>
      <c r="E65" s="15">
        <f>INDEX('Values and minus percentages'!$G$6:$G$62,MATCH('Wholesale tariffs - multiplay'!E59,'Values and minus percentages'!$C$6:$C$62,0))</f>
        <v>1.6528925619834711</v>
      </c>
      <c r="F65" s="15">
        <f>INDEX('Values and minus percentages'!$G$6:$G$62,MATCH('Wholesale tariffs - multiplay'!F59,'Values and minus percentages'!$C$6:$C$62,0))</f>
        <v>1.6528925619834711</v>
      </c>
      <c r="G65" s="15">
        <f>INDEX('Values and minus percentages'!$G$6:$G$62,MATCH('Wholesale tariffs - multiplay'!G59,'Values and minus percentages'!$C$6:$C$62,0))</f>
        <v>1.6528925619834711</v>
      </c>
      <c r="H65" s="15"/>
      <c r="I65" s="15">
        <f>INDEX('Values and minus percentages'!$G$6:$G$62,MATCH('Wholesale tariffs - multiplay'!I59,'Values and minus percentages'!$C$6:$C$62,0))</f>
        <v>1.6528925619834711</v>
      </c>
      <c r="J65" s="15">
        <f>INDEX('Values and minus percentages'!$G$6:$G$62,MATCH('Wholesale tariffs - multiplay'!J59,'Values and minus percentages'!$C$6:$C$62,0))</f>
        <v>1.6528925619834711</v>
      </c>
      <c r="K65" s="15">
        <f>INDEX('Values and minus percentages'!$G$6:$G$62,MATCH('Wholesale tariffs - multiplay'!K59,'Values and minus percentages'!$C$6:$C$62,0))</f>
        <v>1.6528925619834711</v>
      </c>
      <c r="L65" s="15">
        <f>INDEX('Values and minus percentages'!$G$6:$G$62,MATCH('Wholesale tariffs - multiplay'!L59,'Values and minus percentages'!$C$6:$C$62,0))</f>
        <v>1.6528925619834711</v>
      </c>
      <c r="M65" s="15">
        <f>INDEX('Values and minus percentages'!$G$6:$G$62,MATCH('Wholesale tariffs - multiplay'!M59,'Values and minus percentages'!$C$6:$C$62,0))</f>
        <v>1.6528925619834711</v>
      </c>
      <c r="N65" s="15">
        <f>INDEX('Values and minus percentages'!$G$6:$G$62,MATCH('Wholesale tariffs - multiplay'!N59,'Values and minus percentages'!$C$6:$C$62,0))</f>
        <v>1.6528925619834711</v>
      </c>
      <c r="O65" s="15">
        <f>INDEX('Values and minus percentages'!$G$6:$G$62,MATCH('Wholesale tariffs - multiplay'!O59,'Values and minus percentages'!$C$6:$C$62,0))</f>
        <v>1.6528925619834711</v>
      </c>
      <c r="P65" s="15">
        <f>INDEX('Values and minus percentages'!$G$6:$G$62,MATCH('Wholesale tariffs - multiplay'!P59,'Values and minus percentages'!$C$6:$C$62,0))</f>
        <v>1.6528925619834711</v>
      </c>
      <c r="Q65" s="15">
        <f>INDEX('Values and minus percentages'!$G$6:$G$62,MATCH('Wholesale tariffs - multiplay'!Q59,'Values and minus percentages'!$C$6:$C$62,0))</f>
        <v>1.6528925619834711</v>
      </c>
      <c r="R65" s="15">
        <f>INDEX('Values and minus percentages'!$G$6:$G$62,MATCH('Wholesale tariffs - multiplay'!R59,'Values and minus percentages'!$C$6:$C$62,0))</f>
        <v>1.6528925619834711</v>
      </c>
      <c r="S65" s="15"/>
      <c r="T65" s="15">
        <f>INDEX('Values and minus percentages'!$G$6:$G$62,MATCH('Wholesale tariffs - multiplay'!T59,'Values and minus percentages'!$C$6:$C$62,0))</f>
        <v>1.6528925619834711</v>
      </c>
      <c r="U65" s="15">
        <f>INDEX('Values and minus percentages'!$G$6:$G$62,MATCH('Wholesale tariffs - multiplay'!U59,'Values and minus percentages'!$C$6:$C$62,0))</f>
        <v>1.6528925619834711</v>
      </c>
      <c r="V65" s="15">
        <f>INDEX('Values and minus percentages'!$G$6:$G$62,MATCH('Wholesale tariffs - multiplay'!V59,'Values and minus percentages'!$C$6:$C$62,0))</f>
        <v>1.6528925619834711</v>
      </c>
      <c r="W65" s="15">
        <f>INDEX('Values and minus percentages'!$G$6:$G$62,MATCH('Wholesale tariffs - multiplay'!W59,'Values and minus percentages'!$C$6:$C$62,0))</f>
        <v>1.6528925619834711</v>
      </c>
      <c r="X65" s="15">
        <f>INDEX('Values and minus percentages'!$G$6:$G$62,MATCH('Wholesale tariffs - multiplay'!X59,'Values and minus percentages'!$C$6:$C$62,0))</f>
        <v>1.6528925619834711</v>
      </c>
      <c r="Y65" s="15">
        <f>INDEX('Values and minus percentages'!$G$6:$G$62,MATCH('Wholesale tariffs - multiplay'!Y59,'Values and minus percentages'!$C$6:$C$62,0))</f>
        <v>1.6528925619834711</v>
      </c>
      <c r="Z65" s="15">
        <f>INDEX('Values and minus percentages'!$G$6:$G$62,MATCH('Wholesale tariffs - multiplay'!Z59,'Values and minus percentages'!$C$6:$C$62,0))</f>
        <v>1.6528925619834711</v>
      </c>
      <c r="AA65" s="15">
        <f>INDEX('Values and minus percentages'!$G$6:$G$62,MATCH('Wholesale tariffs - multiplay'!AA59,'Values and minus percentages'!$C$6:$C$62,0))</f>
        <v>1.6528925619834711</v>
      </c>
      <c r="AB65" s="15">
        <f>INDEX('Values and minus percentages'!$G$6:$G$62,MATCH('Wholesale tariffs - multiplay'!AB59,'Values and minus percentages'!$C$6:$C$62,0))</f>
        <v>1.6528925619834711</v>
      </c>
      <c r="AC65" s="15">
        <f>INDEX('Values and minus percentages'!$G$6:$G$62,MATCH('Wholesale tariffs - multiplay'!AC59,'Values and minus percentages'!$C$6:$C$62,0))</f>
        <v>1.6528925619834711</v>
      </c>
      <c r="AD65" s="15"/>
      <c r="AE65" s="15">
        <f>INDEX('Values and minus percentages'!$G$6:$G$62,MATCH('Wholesale tariffs - multiplay'!AE59,'Values and minus percentages'!$C$6:$C$62,0))</f>
        <v>1.6528925619834711</v>
      </c>
      <c r="AF65" s="15">
        <f>INDEX('Values and minus percentages'!$G$6:$G$62,MATCH('Wholesale tariffs - multiplay'!AF59,'Values and minus percentages'!$C$6:$C$62,0))</f>
        <v>1.6528925619834711</v>
      </c>
      <c r="AG65" s="15">
        <f>INDEX('Values and minus percentages'!$G$6:$G$62,MATCH('Wholesale tariffs - multiplay'!AG59,'Values and minus percentages'!$C$6:$C$62,0))</f>
        <v>1.6528925619834711</v>
      </c>
    </row>
    <row r="66" spans="1:33" outlineLevel="1" x14ac:dyDescent="0.2">
      <c r="C66" s="95" t="s">
        <v>268</v>
      </c>
      <c r="E66" s="15">
        <f>INDEX('Values and minus percentages'!$G$6:$G$62,MATCH('Wholesale tariffs - multiplay'!E60,'Values and minus percentages'!$C$6:$C$62,0))</f>
        <v>0.82644628099173556</v>
      </c>
      <c r="F66" s="15">
        <f>INDEX('Values and minus percentages'!$G$6:$G$62,MATCH('Wholesale tariffs - multiplay'!F60,'Values and minus percentages'!$C$6:$C$62,0))</f>
        <v>0.82644628099173556</v>
      </c>
      <c r="G66" s="15">
        <f>INDEX('Values and minus percentages'!$G$6:$G$62,MATCH('Wholesale tariffs - multiplay'!G60,'Values and minus percentages'!$C$6:$C$62,0))</f>
        <v>0.82644628099173556</v>
      </c>
      <c r="H66" s="15"/>
      <c r="I66" s="15">
        <f>INDEX('Values and minus percentages'!$G$6:$G$62,MATCH('Wholesale tariffs - multiplay'!I60,'Values and minus percentages'!$C$6:$C$62,0))</f>
        <v>0</v>
      </c>
      <c r="J66" s="15">
        <f>INDEX('Values and minus percentages'!$G$6:$G$62,MATCH('Wholesale tariffs - multiplay'!J60,'Values and minus percentages'!$C$6:$C$62,0))</f>
        <v>0</v>
      </c>
      <c r="K66" s="15">
        <f>INDEX('Values and minus percentages'!$G$6:$G$62,MATCH('Wholesale tariffs - multiplay'!K60,'Values and minus percentages'!$C$6:$C$62,0))</f>
        <v>0</v>
      </c>
      <c r="L66" s="15">
        <f>INDEX('Values and minus percentages'!$G$6:$G$62,MATCH('Wholesale tariffs - multiplay'!L60,'Values and minus percentages'!$C$6:$C$62,0))</f>
        <v>0</v>
      </c>
      <c r="M66" s="15">
        <f>INDEX('Values and minus percentages'!$G$6:$G$62,MATCH('Wholesale tariffs - multiplay'!M60,'Values and minus percentages'!$C$6:$C$62,0))</f>
        <v>0</v>
      </c>
      <c r="N66" s="15">
        <f>INDEX('Values and minus percentages'!$G$6:$G$62,MATCH('Wholesale tariffs - multiplay'!N60,'Values and minus percentages'!$C$6:$C$62,0))</f>
        <v>0</v>
      </c>
      <c r="O66" s="15">
        <f>INDEX('Values and minus percentages'!$G$6:$G$62,MATCH('Wholesale tariffs - multiplay'!O60,'Values and minus percentages'!$C$6:$C$62,0))</f>
        <v>0</v>
      </c>
      <c r="P66" s="15">
        <f>INDEX('Values and minus percentages'!$G$6:$G$62,MATCH('Wholesale tariffs - multiplay'!P60,'Values and minus percentages'!$C$6:$C$62,0))</f>
        <v>0</v>
      </c>
      <c r="Q66" s="15">
        <f>INDEX('Values and minus percentages'!$G$6:$G$62,MATCH('Wholesale tariffs - multiplay'!Q60,'Values and minus percentages'!$C$6:$C$62,0))</f>
        <v>0</v>
      </c>
      <c r="R66" s="15">
        <f>INDEX('Values and minus percentages'!$G$6:$G$62,MATCH('Wholesale tariffs - multiplay'!R60,'Values and minus percentages'!$C$6:$C$62,0))</f>
        <v>0</v>
      </c>
      <c r="S66" s="15"/>
      <c r="T66" s="15">
        <f>INDEX('Values and minus percentages'!$G$6:$G$62,MATCH('Wholesale tariffs - multiplay'!T60,'Values and minus percentages'!$C$6:$C$62,0))</f>
        <v>0</v>
      </c>
      <c r="U66" s="15">
        <f>INDEX('Values and minus percentages'!$G$6:$G$62,MATCH('Wholesale tariffs - multiplay'!U60,'Values and minus percentages'!$C$6:$C$62,0))</f>
        <v>0</v>
      </c>
      <c r="V66" s="15">
        <f>INDEX('Values and minus percentages'!$G$6:$G$62,MATCH('Wholesale tariffs - multiplay'!V60,'Values and minus percentages'!$C$6:$C$62,0))</f>
        <v>0</v>
      </c>
      <c r="W66" s="15">
        <f>INDEX('Values and minus percentages'!$G$6:$G$62,MATCH('Wholesale tariffs - multiplay'!W60,'Values and minus percentages'!$C$6:$C$62,0))</f>
        <v>0</v>
      </c>
      <c r="X66" s="15">
        <f>INDEX('Values and minus percentages'!$G$6:$G$62,MATCH('Wholesale tariffs - multiplay'!X60,'Values and minus percentages'!$C$6:$C$62,0))</f>
        <v>0</v>
      </c>
      <c r="Y66" s="15">
        <f>INDEX('Values and minus percentages'!$G$6:$G$62,MATCH('Wholesale tariffs - multiplay'!Y60,'Values and minus percentages'!$C$6:$C$62,0))</f>
        <v>0</v>
      </c>
      <c r="Z66" s="15">
        <f>INDEX('Values and minus percentages'!$G$6:$G$62,MATCH('Wholesale tariffs - multiplay'!Z60,'Values and minus percentages'!$C$6:$C$62,0))</f>
        <v>0</v>
      </c>
      <c r="AA66" s="15">
        <f>INDEX('Values and minus percentages'!$G$6:$G$62,MATCH('Wholesale tariffs - multiplay'!AA60,'Values and minus percentages'!$C$6:$C$62,0))</f>
        <v>0</v>
      </c>
      <c r="AB66" s="15">
        <f>INDEX('Values and minus percentages'!$G$6:$G$62,MATCH('Wholesale tariffs - multiplay'!AB60,'Values and minus percentages'!$C$6:$C$62,0))</f>
        <v>0</v>
      </c>
      <c r="AC66" s="15">
        <f>INDEX('Values and minus percentages'!$G$6:$G$62,MATCH('Wholesale tariffs - multiplay'!AC60,'Values and minus percentages'!$C$6:$C$62,0))</f>
        <v>0</v>
      </c>
      <c r="AD66" s="15"/>
      <c r="AE66" s="15">
        <f>INDEX('Values and minus percentages'!$G$6:$G$62,MATCH('Wholesale tariffs - multiplay'!AE60,'Values and minus percentages'!$C$6:$C$62,0))</f>
        <v>0</v>
      </c>
      <c r="AF66" s="15">
        <f>INDEX('Values and minus percentages'!$G$6:$G$62,MATCH('Wholesale tariffs - multiplay'!AF60,'Values and minus percentages'!$C$6:$C$62,0))</f>
        <v>0</v>
      </c>
      <c r="AG66" s="15">
        <f>INDEX('Values and minus percentages'!$G$6:$G$62,MATCH('Wholesale tariffs - multiplay'!AG60,'Values and minus percentages'!$C$6:$C$62,0))</f>
        <v>0</v>
      </c>
    </row>
    <row r="67" spans="1:33" outlineLevel="1" x14ac:dyDescent="0.2">
      <c r="C67" s="95" t="s">
        <v>96</v>
      </c>
      <c r="E67" s="15">
        <f>INDEX('Values and minus percentages'!$G$6:$G$62,MATCH('Wholesale tariffs - multiplay'!E61,'Values and minus percentages'!$C$6:$C$62,0))</f>
        <v>0.41322314049586778</v>
      </c>
      <c r="F67" s="15">
        <f>INDEX('Values and minus percentages'!$G$6:$G$62,MATCH('Wholesale tariffs - multiplay'!F61,'Values and minus percentages'!$C$6:$C$62,0))</f>
        <v>0.41322314049586778</v>
      </c>
      <c r="G67" s="15">
        <f>INDEX('Values and minus percentages'!$G$6:$G$62,MATCH('Wholesale tariffs - multiplay'!G61,'Values and minus percentages'!$C$6:$C$62,0))</f>
        <v>0.41322314049586778</v>
      </c>
      <c r="H67" s="15"/>
      <c r="I67" s="15">
        <f>INDEX('Values and minus percentages'!$G$6:$G$62,MATCH('Wholesale tariffs - multiplay'!I61,'Values and minus percentages'!$C$6:$C$62,0))</f>
        <v>0</v>
      </c>
      <c r="J67" s="15">
        <f>INDEX('Values and minus percentages'!$G$6:$G$62,MATCH('Wholesale tariffs - multiplay'!J61,'Values and minus percentages'!$C$6:$C$62,0))</f>
        <v>0</v>
      </c>
      <c r="K67" s="15">
        <f>INDEX('Values and minus percentages'!$G$6:$G$62,MATCH('Wholesale tariffs - multiplay'!K61,'Values and minus percentages'!$C$6:$C$62,0))</f>
        <v>0</v>
      </c>
      <c r="L67" s="15">
        <f>INDEX('Values and minus percentages'!$G$6:$G$62,MATCH('Wholesale tariffs - multiplay'!L61,'Values and minus percentages'!$C$6:$C$62,0))</f>
        <v>0</v>
      </c>
      <c r="M67" s="15">
        <f>INDEX('Values and minus percentages'!$G$6:$G$62,MATCH('Wholesale tariffs - multiplay'!M61,'Values and minus percentages'!$C$6:$C$62,0))</f>
        <v>0</v>
      </c>
      <c r="N67" s="15">
        <f>INDEX('Values and minus percentages'!$G$6:$G$62,MATCH('Wholesale tariffs - multiplay'!N61,'Values and minus percentages'!$C$6:$C$62,0))</f>
        <v>0</v>
      </c>
      <c r="O67" s="15">
        <f>INDEX('Values and minus percentages'!$G$6:$G$62,MATCH('Wholesale tariffs - multiplay'!O61,'Values and minus percentages'!$C$6:$C$62,0))</f>
        <v>0</v>
      </c>
      <c r="P67" s="15">
        <f>INDEX('Values and minus percentages'!$G$6:$G$62,MATCH('Wholesale tariffs - multiplay'!P61,'Values and minus percentages'!$C$6:$C$62,0))</f>
        <v>0</v>
      </c>
      <c r="Q67" s="15">
        <f>INDEX('Values and minus percentages'!$G$6:$G$62,MATCH('Wholesale tariffs - multiplay'!Q61,'Values and minus percentages'!$C$6:$C$62,0))</f>
        <v>0</v>
      </c>
      <c r="R67" s="15">
        <f>INDEX('Values and minus percentages'!$G$6:$G$62,MATCH('Wholesale tariffs - multiplay'!R61,'Values and minus percentages'!$C$6:$C$62,0))</f>
        <v>0</v>
      </c>
      <c r="S67" s="15"/>
      <c r="T67" s="15">
        <f>INDEX('Values and minus percentages'!$G$6:$G$62,MATCH('Wholesale tariffs - multiplay'!T61,'Values and minus percentages'!$C$6:$C$62,0))</f>
        <v>0</v>
      </c>
      <c r="U67" s="15">
        <f>INDEX('Values and minus percentages'!$G$6:$G$62,MATCH('Wholesale tariffs - multiplay'!U61,'Values and minus percentages'!$C$6:$C$62,0))</f>
        <v>0</v>
      </c>
      <c r="V67" s="15">
        <f>INDEX('Values and minus percentages'!$G$6:$G$62,MATCH('Wholesale tariffs - multiplay'!V61,'Values and minus percentages'!$C$6:$C$62,0))</f>
        <v>0</v>
      </c>
      <c r="W67" s="15">
        <f>INDEX('Values and minus percentages'!$G$6:$G$62,MATCH('Wholesale tariffs - multiplay'!W61,'Values and minus percentages'!$C$6:$C$62,0))</f>
        <v>0</v>
      </c>
      <c r="X67" s="15">
        <f>INDEX('Values and minus percentages'!$G$6:$G$62,MATCH('Wholesale tariffs - multiplay'!X61,'Values and minus percentages'!$C$6:$C$62,0))</f>
        <v>0</v>
      </c>
      <c r="Y67" s="15">
        <f>INDEX('Values and minus percentages'!$G$6:$G$62,MATCH('Wholesale tariffs - multiplay'!Y61,'Values and minus percentages'!$C$6:$C$62,0))</f>
        <v>0</v>
      </c>
      <c r="Z67" s="15">
        <f>INDEX('Values and minus percentages'!$G$6:$G$62,MATCH('Wholesale tariffs - multiplay'!Z61,'Values and minus percentages'!$C$6:$C$62,0))</f>
        <v>0</v>
      </c>
      <c r="AA67" s="15">
        <f>INDEX('Values and minus percentages'!$G$6:$G$62,MATCH('Wholesale tariffs - multiplay'!AA61,'Values and minus percentages'!$C$6:$C$62,0))</f>
        <v>0</v>
      </c>
      <c r="AB67" s="15">
        <f>INDEX('Values and minus percentages'!$G$6:$G$62,MATCH('Wholesale tariffs - multiplay'!AB61,'Values and minus percentages'!$C$6:$C$62,0))</f>
        <v>0</v>
      </c>
      <c r="AC67" s="15">
        <f>INDEX('Values and minus percentages'!$G$6:$G$62,MATCH('Wholesale tariffs - multiplay'!AC61,'Values and minus percentages'!$C$6:$C$62,0))</f>
        <v>0</v>
      </c>
      <c r="AD67" s="15"/>
      <c r="AE67" s="15">
        <f>INDEX('Values and minus percentages'!$G$6:$G$62,MATCH('Wholesale tariffs - multiplay'!AE61,'Values and minus percentages'!$C$6:$C$62,0))</f>
        <v>0.24793388429752067</v>
      </c>
      <c r="AF67" s="15">
        <f>INDEX('Values and minus percentages'!$G$6:$G$62,MATCH('Wholesale tariffs - multiplay'!AF61,'Values and minus percentages'!$C$6:$C$62,0))</f>
        <v>0.24793388429752067</v>
      </c>
      <c r="AG67" s="15">
        <f>INDEX('Values and minus percentages'!$G$6:$G$62,MATCH('Wholesale tariffs - multiplay'!AG61,'Values and minus percentages'!$C$6:$C$62,0))</f>
        <v>0.24793388429752067</v>
      </c>
    </row>
    <row r="68" spans="1:33" outlineLevel="1" x14ac:dyDescent="0.2">
      <c r="C68" s="95" t="s">
        <v>149</v>
      </c>
      <c r="E68" s="15">
        <f>INDEX('Values and minus percentages'!$G$6:$G$62,MATCH('Wholesale tariffs - multiplay'!E62,'Values and minus percentages'!$C$6:$C$62,0))</f>
        <v>2.0661157024793391</v>
      </c>
      <c r="F68" s="15">
        <f>INDEX('Values and minus percentages'!$G$6:$G$62,MATCH('Wholesale tariffs - multiplay'!F62,'Values and minus percentages'!$C$6:$C$62,0))</f>
        <v>2.0661157024793391</v>
      </c>
      <c r="G68" s="15">
        <f>INDEX('Values and minus percentages'!$G$6:$G$62,MATCH('Wholesale tariffs - multiplay'!G62,'Values and minus percentages'!$C$6:$C$62,0))</f>
        <v>2.0661157024793391</v>
      </c>
      <c r="H68" s="15"/>
      <c r="I68" s="15">
        <f>INDEX('Values and minus percentages'!$G$6:$G$62,MATCH('Wholesale tariffs - multiplay'!I62,'Values and minus percentages'!$C$6:$C$62,0))</f>
        <v>2.0661157024793391</v>
      </c>
      <c r="J68" s="15">
        <f>INDEX('Values and minus percentages'!$G$6:$G$62,MATCH('Wholesale tariffs - multiplay'!J62,'Values and minus percentages'!$C$6:$C$62,0))</f>
        <v>2.0661157024793391</v>
      </c>
      <c r="K68" s="15">
        <f>INDEX('Values and minus percentages'!$G$6:$G$62,MATCH('Wholesale tariffs - multiplay'!K62,'Values and minus percentages'!$C$6:$C$62,0))</f>
        <v>2.0661157024793391</v>
      </c>
      <c r="L68" s="15">
        <f>INDEX('Values and minus percentages'!$G$6:$G$62,MATCH('Wholesale tariffs - multiplay'!L62,'Values and minus percentages'!$C$6:$C$62,0))</f>
        <v>2.0661157024793391</v>
      </c>
      <c r="M68" s="15">
        <f>INDEX('Values and minus percentages'!$G$6:$G$62,MATCH('Wholesale tariffs - multiplay'!M62,'Values and minus percentages'!$C$6:$C$62,0))</f>
        <v>2.0661157024793391</v>
      </c>
      <c r="N68" s="15">
        <f>INDEX('Values and minus percentages'!$G$6:$G$62,MATCH('Wholesale tariffs - multiplay'!N62,'Values and minus percentages'!$C$6:$C$62,0))</f>
        <v>2.0661157024793391</v>
      </c>
      <c r="O68" s="15">
        <f>INDEX('Values and minus percentages'!$G$6:$G$62,MATCH('Wholesale tariffs - multiplay'!O62,'Values and minus percentages'!$C$6:$C$62,0))</f>
        <v>2.0661157024793391</v>
      </c>
      <c r="P68" s="15">
        <f>INDEX('Values and minus percentages'!$G$6:$G$62,MATCH('Wholesale tariffs - multiplay'!P62,'Values and minus percentages'!$C$6:$C$62,0))</f>
        <v>2.0661157024793391</v>
      </c>
      <c r="Q68" s="15">
        <f>INDEX('Values and minus percentages'!$G$6:$G$62,MATCH('Wholesale tariffs - multiplay'!Q62,'Values and minus percentages'!$C$6:$C$62,0))</f>
        <v>2.0661157024793391</v>
      </c>
      <c r="R68" s="15">
        <f>INDEX('Values and minus percentages'!$G$6:$G$62,MATCH('Wholesale tariffs - multiplay'!R62,'Values and minus percentages'!$C$6:$C$62,0))</f>
        <v>2.0661157024793391</v>
      </c>
      <c r="S68" s="15"/>
      <c r="T68" s="15">
        <f>INDEX('Values and minus percentages'!$G$6:$G$62,MATCH('Wholesale tariffs - multiplay'!T62,'Values and minus percentages'!$C$6:$C$62,0))</f>
        <v>2.0661157024793391</v>
      </c>
      <c r="U68" s="15">
        <f>INDEX('Values and minus percentages'!$G$6:$G$62,MATCH('Wholesale tariffs - multiplay'!U62,'Values and minus percentages'!$C$6:$C$62,0))</f>
        <v>2.0661157024793391</v>
      </c>
      <c r="V68" s="15">
        <f>INDEX('Values and minus percentages'!$G$6:$G$62,MATCH('Wholesale tariffs - multiplay'!V62,'Values and minus percentages'!$C$6:$C$62,0))</f>
        <v>2.0661157024793391</v>
      </c>
      <c r="W68" s="15">
        <f>INDEX('Values and minus percentages'!$G$6:$G$62,MATCH('Wholesale tariffs - multiplay'!W62,'Values and minus percentages'!$C$6:$C$62,0))</f>
        <v>2.0661157024793391</v>
      </c>
      <c r="X68" s="15">
        <f>INDEX('Values and minus percentages'!$G$6:$G$62,MATCH('Wholesale tariffs - multiplay'!X62,'Values and minus percentages'!$C$6:$C$62,0))</f>
        <v>2.0661157024793391</v>
      </c>
      <c r="Y68" s="15">
        <f>INDEX('Values and minus percentages'!$G$6:$G$62,MATCH('Wholesale tariffs - multiplay'!Y62,'Values and minus percentages'!$C$6:$C$62,0))</f>
        <v>2.0661157024793391</v>
      </c>
      <c r="Z68" s="15">
        <f>INDEX('Values and minus percentages'!$G$6:$G$62,MATCH('Wholesale tariffs - multiplay'!Z62,'Values and minus percentages'!$C$6:$C$62,0))</f>
        <v>2.0661157024793391</v>
      </c>
      <c r="AA68" s="15">
        <f>INDEX('Values and minus percentages'!$G$6:$G$62,MATCH('Wholesale tariffs - multiplay'!AA62,'Values and minus percentages'!$C$6:$C$62,0))</f>
        <v>2.0661157024793391</v>
      </c>
      <c r="AB68" s="15">
        <f>INDEX('Values and minus percentages'!$G$6:$G$62,MATCH('Wholesale tariffs - multiplay'!AB62,'Values and minus percentages'!$C$6:$C$62,0))</f>
        <v>2.0661157024793391</v>
      </c>
      <c r="AC68" s="15">
        <f>INDEX('Values and minus percentages'!$G$6:$G$62,MATCH('Wholesale tariffs - multiplay'!AC62,'Values and minus percentages'!$C$6:$C$62,0))</f>
        <v>2.0661157024793391</v>
      </c>
      <c r="AD68" s="15"/>
      <c r="AE68" s="15">
        <f>INDEX('Values and minus percentages'!$G$6:$G$62,MATCH('Wholesale tariffs - multiplay'!AE62,'Values and minus percentages'!$C$6:$C$62,0))</f>
        <v>0</v>
      </c>
      <c r="AF68" s="15">
        <f>INDEX('Values and minus percentages'!$G$6:$G$62,MATCH('Wholesale tariffs - multiplay'!AF62,'Values and minus percentages'!$C$6:$C$62,0))</f>
        <v>0</v>
      </c>
      <c r="AG68" s="15">
        <f>INDEX('Values and minus percentages'!$G$6:$G$62,MATCH('Wholesale tariffs - multiplay'!AG62,'Values and minus percentages'!$C$6:$C$62,0))</f>
        <v>0</v>
      </c>
    </row>
    <row r="69" spans="1:33" s="41" customFormat="1" x14ac:dyDescent="0.2"/>
    <row r="70" spans="1:33" s="41" customFormat="1" ht="12" x14ac:dyDescent="0.2">
      <c r="C70" s="59" t="s">
        <v>271</v>
      </c>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row>
    <row r="71" spans="1:33" s="41" customFormat="1" x14ac:dyDescent="0.2">
      <c r="F71" s="107"/>
      <c r="G71" s="15"/>
      <c r="I71" s="15"/>
      <c r="J71" s="15"/>
      <c r="K71" s="15"/>
      <c r="L71" s="15"/>
      <c r="M71" s="15"/>
      <c r="N71" s="15"/>
      <c r="O71" s="15"/>
      <c r="P71" s="15"/>
      <c r="Q71" s="15"/>
      <c r="R71" s="15"/>
      <c r="T71" s="15"/>
      <c r="U71" s="15"/>
      <c r="V71" s="15"/>
      <c r="W71" s="15"/>
      <c r="X71" s="15"/>
      <c r="Y71" s="15"/>
      <c r="Z71" s="15"/>
      <c r="AA71" s="15"/>
      <c r="AB71" s="15"/>
      <c r="AC71" s="15"/>
      <c r="AE71" s="15"/>
      <c r="AF71" s="15"/>
      <c r="AG71" s="15"/>
    </row>
    <row r="72" spans="1:33" s="41" customFormat="1" ht="12" x14ac:dyDescent="0.2">
      <c r="C72" s="78" t="s">
        <v>223</v>
      </c>
      <c r="E72" s="114">
        <f t="shared" ref="E72:AG72" si="69">E54-E64*(1+E52)</f>
        <v>23.846519731145943</v>
      </c>
      <c r="F72" s="114">
        <f t="shared" si="69"/>
        <v>27.432850614084767</v>
      </c>
      <c r="G72" s="114">
        <f t="shared" si="69"/>
        <v>36.736459508465032</v>
      </c>
      <c r="H72" s="114">
        <f t="shared" si="69"/>
        <v>0</v>
      </c>
      <c r="I72" s="114">
        <f t="shared" si="69"/>
        <v>20.364438480312021</v>
      </c>
      <c r="J72" s="114">
        <f t="shared" si="69"/>
        <v>28.337329037268958</v>
      </c>
      <c r="K72" s="114">
        <f t="shared" si="69"/>
        <v>34.970069326197248</v>
      </c>
      <c r="L72" s="114">
        <f t="shared" si="69"/>
        <v>43.03976388157821</v>
      </c>
      <c r="M72" s="114">
        <f t="shared" si="69"/>
        <v>59.14293922280892</v>
      </c>
      <c r="N72" s="114">
        <f t="shared" si="69"/>
        <v>21.173124969459472</v>
      </c>
      <c r="O72" s="114">
        <f t="shared" si="69"/>
        <v>29.027370577053112</v>
      </c>
      <c r="P72" s="114">
        <f t="shared" si="69"/>
        <v>31.487400313915863</v>
      </c>
      <c r="Q72" s="114">
        <f t="shared" si="69"/>
        <v>39.124876924277466</v>
      </c>
      <c r="R72" s="114">
        <f t="shared" si="69"/>
        <v>54.418625563385689</v>
      </c>
      <c r="S72" s="114">
        <f t="shared" si="69"/>
        <v>0</v>
      </c>
      <c r="T72" s="114">
        <f t="shared" si="69"/>
        <v>20.364438480312021</v>
      </c>
      <c r="U72" s="114">
        <f t="shared" si="69"/>
        <v>28.337329037268958</v>
      </c>
      <c r="V72" s="114">
        <f t="shared" si="69"/>
        <v>34.970069326197248</v>
      </c>
      <c r="W72" s="114">
        <f t="shared" si="69"/>
        <v>43.03976388157821</v>
      </c>
      <c r="X72" s="114">
        <f t="shared" si="69"/>
        <v>59.14293922280892</v>
      </c>
      <c r="Y72" s="114">
        <f t="shared" si="69"/>
        <v>21.173124969459472</v>
      </c>
      <c r="Z72" s="114">
        <f t="shared" si="69"/>
        <v>29.027370577053112</v>
      </c>
      <c r="AA72" s="114">
        <f t="shared" si="69"/>
        <v>31.487400313915863</v>
      </c>
      <c r="AB72" s="114">
        <f t="shared" si="69"/>
        <v>39.124876924277466</v>
      </c>
      <c r="AC72" s="114">
        <f t="shared" si="69"/>
        <v>54.418625563385689</v>
      </c>
      <c r="AD72" s="114">
        <f t="shared" si="69"/>
        <v>0</v>
      </c>
      <c r="AE72" s="114">
        <f t="shared" si="69"/>
        <v>19.942028985507243</v>
      </c>
      <c r="AF72" s="114">
        <f t="shared" si="69"/>
        <v>26.09027336300063</v>
      </c>
      <c r="AG72" s="114">
        <f t="shared" si="69"/>
        <v>29.373002754820941</v>
      </c>
    </row>
    <row r="73" spans="1:33" s="41" customFormat="1" x14ac:dyDescent="0.2">
      <c r="C73" s="95" t="s">
        <v>224</v>
      </c>
      <c r="E73" s="100">
        <v>39.413223140495859</v>
      </c>
      <c r="F73" s="100">
        <v>38.804296368192205</v>
      </c>
      <c r="G73" s="100">
        <v>48.056333277112515</v>
      </c>
      <c r="I73" s="100">
        <v>32.21917355371901</v>
      </c>
      <c r="J73" s="100">
        <v>40.483636363636371</v>
      </c>
      <c r="K73" s="100">
        <v>48.748099173553719</v>
      </c>
      <c r="L73" s="100">
        <v>57.01256198347108</v>
      </c>
      <c r="M73" s="100">
        <v>73.541487603305796</v>
      </c>
      <c r="N73" s="100">
        <v>32.498706075183954</v>
      </c>
      <c r="O73" s="100">
        <v>40.697683356369474</v>
      </c>
      <c r="P73" s="100">
        <v>43.144925373186041</v>
      </c>
      <c r="Q73" s="100">
        <v>51.179741284334376</v>
      </c>
      <c r="R73" s="100">
        <v>67.158252296036878</v>
      </c>
      <c r="T73" s="100">
        <v>32.21917355371901</v>
      </c>
      <c r="U73" s="100">
        <v>40.483636363636371</v>
      </c>
      <c r="V73" s="100">
        <v>48.748099173553719</v>
      </c>
      <c r="W73" s="100">
        <v>57.01256198347108</v>
      </c>
      <c r="X73" s="100">
        <v>73.541487603305796</v>
      </c>
      <c r="Y73" s="100">
        <v>32.498706075183954</v>
      </c>
      <c r="Z73" s="100">
        <v>40.697683356369474</v>
      </c>
      <c r="AA73" s="100">
        <v>43.144925373186041</v>
      </c>
      <c r="AB73" s="100">
        <v>51.179741284334376</v>
      </c>
      <c r="AC73" s="100">
        <v>67.158252296036878</v>
      </c>
      <c r="AE73" s="100">
        <v>28.86538695254767</v>
      </c>
      <c r="AF73" s="100">
        <v>35.314446351589289</v>
      </c>
      <c r="AG73" s="100">
        <v>37.113875066039903</v>
      </c>
    </row>
    <row r="74" spans="1:33" s="41" customFormat="1" x14ac:dyDescent="0.2">
      <c r="C74" s="95" t="s">
        <v>225</v>
      </c>
      <c r="E74" s="96">
        <f>E72/E73-1</f>
        <v>-0.39496144108436571</v>
      </c>
      <c r="F74" s="96">
        <f t="shared" ref="F74:AG74" si="70">F72/F73-1</f>
        <v>-0.29304604949436952</v>
      </c>
      <c r="G74" s="96">
        <f t="shared" si="70"/>
        <v>-0.2355542546988022</v>
      </c>
      <c r="H74" s="96" t="e">
        <f t="shared" si="70"/>
        <v>#DIV/0!</v>
      </c>
      <c r="I74" s="96">
        <f t="shared" si="70"/>
        <v>-0.36794038349995528</v>
      </c>
      <c r="J74" s="96">
        <f t="shared" si="70"/>
        <v>-0.30003004713473802</v>
      </c>
      <c r="K74" s="96">
        <f t="shared" si="70"/>
        <v>-0.2826372736771483</v>
      </c>
      <c r="L74" s="96">
        <f t="shared" si="70"/>
        <v>-0.24508279606771266</v>
      </c>
      <c r="M74" s="96">
        <f t="shared" si="70"/>
        <v>-0.19578810341945874</v>
      </c>
      <c r="N74" s="96">
        <f t="shared" si="70"/>
        <v>-0.34849329322599421</v>
      </c>
      <c r="O74" s="96">
        <f t="shared" si="70"/>
        <v>-0.28675619388762763</v>
      </c>
      <c r="P74" s="96">
        <f t="shared" si="70"/>
        <v>-0.27019458159765797</v>
      </c>
      <c r="Q74" s="96">
        <f t="shared" si="70"/>
        <v>-0.23553976744596772</v>
      </c>
      <c r="R74" s="96">
        <f t="shared" si="70"/>
        <v>-0.18969562633188086</v>
      </c>
      <c r="S74" s="96" t="e">
        <f t="shared" si="70"/>
        <v>#DIV/0!</v>
      </c>
      <c r="T74" s="96">
        <f t="shared" si="70"/>
        <v>-0.36794038349995528</v>
      </c>
      <c r="U74" s="96">
        <f t="shared" si="70"/>
        <v>-0.30003004713473802</v>
      </c>
      <c r="V74" s="96">
        <f t="shared" si="70"/>
        <v>-0.2826372736771483</v>
      </c>
      <c r="W74" s="96">
        <f t="shared" si="70"/>
        <v>-0.24508279606771266</v>
      </c>
      <c r="X74" s="96">
        <f t="shared" si="70"/>
        <v>-0.19578810341945874</v>
      </c>
      <c r="Y74" s="96">
        <f t="shared" si="70"/>
        <v>-0.34849329322599421</v>
      </c>
      <c r="Z74" s="96">
        <f t="shared" si="70"/>
        <v>-0.28675619388762763</v>
      </c>
      <c r="AA74" s="96">
        <f t="shared" si="70"/>
        <v>-0.27019458159765797</v>
      </c>
      <c r="AB74" s="96">
        <f t="shared" si="70"/>
        <v>-0.23553976744596772</v>
      </c>
      <c r="AC74" s="96">
        <f t="shared" si="70"/>
        <v>-0.18969562633188086</v>
      </c>
      <c r="AD74" s="96" t="e">
        <f t="shared" si="70"/>
        <v>#DIV/0!</v>
      </c>
      <c r="AE74" s="96">
        <f t="shared" si="70"/>
        <v>-0.3091369598373892</v>
      </c>
      <c r="AF74" s="96">
        <f t="shared" si="70"/>
        <v>-0.26120112139811402</v>
      </c>
      <c r="AG74" s="96">
        <f t="shared" si="70"/>
        <v>-0.20857084574017026</v>
      </c>
    </row>
    <row r="75" spans="1:33" x14ac:dyDescent="0.2">
      <c r="B75" s="41"/>
    </row>
    <row r="76" spans="1:33" s="41" customFormat="1" ht="12" x14ac:dyDescent="0.2">
      <c r="C76" s="78" t="s">
        <v>226</v>
      </c>
    </row>
    <row r="77" spans="1:33" outlineLevel="1" x14ac:dyDescent="0.2">
      <c r="A77" s="41"/>
      <c r="C77" s="112" t="s">
        <v>224</v>
      </c>
      <c r="E77" s="102">
        <f>E73</f>
        <v>39.413223140495859</v>
      </c>
      <c r="F77" s="102">
        <f>F73</f>
        <v>38.804296368192205</v>
      </c>
      <c r="G77" s="102">
        <f>G73</f>
        <v>48.056333277112515</v>
      </c>
      <c r="I77" s="102">
        <f t="shared" ref="I77:R77" si="71">I73</f>
        <v>32.21917355371901</v>
      </c>
      <c r="J77" s="102">
        <f t="shared" si="71"/>
        <v>40.483636363636371</v>
      </c>
      <c r="K77" s="102">
        <f t="shared" si="71"/>
        <v>48.748099173553719</v>
      </c>
      <c r="L77" s="102">
        <f t="shared" si="71"/>
        <v>57.01256198347108</v>
      </c>
      <c r="M77" s="102">
        <f t="shared" si="71"/>
        <v>73.541487603305796</v>
      </c>
      <c r="N77" s="102">
        <f t="shared" si="71"/>
        <v>32.498706075183954</v>
      </c>
      <c r="O77" s="102">
        <f t="shared" si="71"/>
        <v>40.697683356369474</v>
      </c>
      <c r="P77" s="102">
        <f t="shared" si="71"/>
        <v>43.144925373186041</v>
      </c>
      <c r="Q77" s="102">
        <f t="shared" si="71"/>
        <v>51.179741284334376</v>
      </c>
      <c r="R77" s="102">
        <f t="shared" si="71"/>
        <v>67.158252296036878</v>
      </c>
      <c r="T77" s="102">
        <f t="shared" ref="T77:AC77" si="72">T73</f>
        <v>32.21917355371901</v>
      </c>
      <c r="U77" s="102">
        <f t="shared" si="72"/>
        <v>40.483636363636371</v>
      </c>
      <c r="V77" s="102">
        <f t="shared" si="72"/>
        <v>48.748099173553719</v>
      </c>
      <c r="W77" s="102">
        <f t="shared" si="72"/>
        <v>57.01256198347108</v>
      </c>
      <c r="X77" s="102">
        <f t="shared" si="72"/>
        <v>73.541487603305796</v>
      </c>
      <c r="Y77" s="102">
        <f t="shared" si="72"/>
        <v>32.498706075183954</v>
      </c>
      <c r="Z77" s="102">
        <f t="shared" si="72"/>
        <v>40.697683356369474</v>
      </c>
      <c r="AA77" s="102">
        <f t="shared" si="72"/>
        <v>43.144925373186041</v>
      </c>
      <c r="AB77" s="102">
        <f t="shared" si="72"/>
        <v>51.179741284334376</v>
      </c>
      <c r="AC77" s="102">
        <f t="shared" si="72"/>
        <v>67.158252296036878</v>
      </c>
      <c r="AE77" s="102">
        <f>AE73</f>
        <v>28.86538695254767</v>
      </c>
      <c r="AF77" s="102">
        <f>AF73</f>
        <v>35.314446351589289</v>
      </c>
      <c r="AG77" s="102">
        <f>AG73</f>
        <v>37.113875066039903</v>
      </c>
    </row>
    <row r="78" spans="1:33" s="41" customFormat="1" outlineLevel="1" x14ac:dyDescent="0.2">
      <c r="C78" s="112" t="s">
        <v>272</v>
      </c>
      <c r="E78" s="83">
        <f>E80-(E79+E77)</f>
        <v>4.5351239669421517</v>
      </c>
      <c r="F78" s="83">
        <f>F80-(F79+F77)</f>
        <v>15.41264578056812</v>
      </c>
      <c r="G78" s="83">
        <f>G80-(G79+G77)</f>
        <v>14.79697250801145</v>
      </c>
      <c r="I78" s="83">
        <f t="shared" ref="I78:R78" si="73">I80-(I79+I77)</f>
        <v>-4.2975206611544081E-3</v>
      </c>
      <c r="J78" s="83">
        <f t="shared" si="73"/>
        <v>-4.2975206611615135E-3</v>
      </c>
      <c r="K78" s="83">
        <f t="shared" si="73"/>
        <v>-4.2975206611544081E-3</v>
      </c>
      <c r="L78" s="83">
        <f t="shared" si="73"/>
        <v>-4.2975206611615135E-3</v>
      </c>
      <c r="M78" s="83">
        <f t="shared" si="73"/>
        <v>-4.2975206611544081E-3</v>
      </c>
      <c r="N78" s="83">
        <f t="shared" si="73"/>
        <v>6.3277402058077854</v>
      </c>
      <c r="O78" s="83">
        <f t="shared" si="73"/>
        <v>6.3932257345396195</v>
      </c>
      <c r="P78" s="83">
        <f t="shared" si="73"/>
        <v>12.210446527640407</v>
      </c>
      <c r="Q78" s="83">
        <f t="shared" si="73"/>
        <v>12.440093426409433</v>
      </c>
      <c r="R78" s="83">
        <f t="shared" si="73"/>
        <v>12.990508034541648</v>
      </c>
      <c r="T78" s="83">
        <f t="shared" ref="T78:AC78" si="74">T80-(T79+T77)</f>
        <v>-4.2975206611544081E-3</v>
      </c>
      <c r="U78" s="83">
        <f t="shared" si="74"/>
        <v>-4.2975206611615135E-3</v>
      </c>
      <c r="V78" s="83">
        <f t="shared" si="74"/>
        <v>-4.2975206611544081E-3</v>
      </c>
      <c r="W78" s="83">
        <f t="shared" si="74"/>
        <v>-4.2975206611615135E-3</v>
      </c>
      <c r="X78" s="83">
        <f t="shared" si="74"/>
        <v>-4.2975206611544081E-3</v>
      </c>
      <c r="Y78" s="83">
        <f t="shared" si="74"/>
        <v>6.3277402058077854</v>
      </c>
      <c r="Z78" s="83">
        <f t="shared" si="74"/>
        <v>6.3932257345396195</v>
      </c>
      <c r="AA78" s="83">
        <f t="shared" si="74"/>
        <v>12.210446527640407</v>
      </c>
      <c r="AB78" s="83">
        <f t="shared" si="74"/>
        <v>12.440093426409433</v>
      </c>
      <c r="AC78" s="83">
        <f t="shared" si="74"/>
        <v>12.990508034541648</v>
      </c>
      <c r="AE78" s="83">
        <f>AE80-(AE79+AE77)</f>
        <v>7.8288279234853917</v>
      </c>
      <c r="AF78" s="83">
        <f>AF80-(AF79+AF77)</f>
        <v>9.6442313343611232</v>
      </c>
      <c r="AG78" s="83">
        <f>AG80-(AG79+AG77)</f>
        <v>16.109265429827872</v>
      </c>
    </row>
    <row r="79" spans="1:33" outlineLevel="1" x14ac:dyDescent="0.2">
      <c r="A79" s="41"/>
      <c r="C79" s="112" t="s">
        <v>259</v>
      </c>
      <c r="E79" s="102">
        <f>-E32</f>
        <v>3.3057851239669422</v>
      </c>
      <c r="F79" s="102">
        <f>-F32</f>
        <v>3.3057851239669422</v>
      </c>
      <c r="G79" s="102">
        <f>-G32</f>
        <v>3.3057851239669422</v>
      </c>
      <c r="I79" s="102">
        <f t="shared" ref="I79:R79" si="75">-I32</f>
        <v>3.2809917355371905</v>
      </c>
      <c r="J79" s="102">
        <f t="shared" si="75"/>
        <v>3.2809917355371905</v>
      </c>
      <c r="K79" s="102">
        <f t="shared" si="75"/>
        <v>3.2809917355371905</v>
      </c>
      <c r="L79" s="102">
        <f t="shared" si="75"/>
        <v>3.2809917355371905</v>
      </c>
      <c r="M79" s="102">
        <f t="shared" si="75"/>
        <v>3.2809917355371905</v>
      </c>
      <c r="N79" s="102">
        <f t="shared" si="75"/>
        <v>3.2809917355371905</v>
      </c>
      <c r="O79" s="102">
        <f t="shared" si="75"/>
        <v>3.2809917355371905</v>
      </c>
      <c r="P79" s="102">
        <f t="shared" si="75"/>
        <v>3.2809917355371905</v>
      </c>
      <c r="Q79" s="102">
        <f t="shared" si="75"/>
        <v>3.2809917355371905</v>
      </c>
      <c r="R79" s="102">
        <f t="shared" si="75"/>
        <v>3.2809917355371905</v>
      </c>
      <c r="T79" s="102">
        <f t="shared" ref="T79:AC79" si="76">-T32</f>
        <v>3.2809917355371905</v>
      </c>
      <c r="U79" s="102">
        <f t="shared" si="76"/>
        <v>3.2809917355371905</v>
      </c>
      <c r="V79" s="102">
        <f t="shared" si="76"/>
        <v>3.2809917355371905</v>
      </c>
      <c r="W79" s="102">
        <f t="shared" si="76"/>
        <v>3.2809917355371905</v>
      </c>
      <c r="X79" s="102">
        <f t="shared" si="76"/>
        <v>3.2809917355371905</v>
      </c>
      <c r="Y79" s="102">
        <f t="shared" si="76"/>
        <v>3.2809917355371905</v>
      </c>
      <c r="Z79" s="102">
        <f t="shared" si="76"/>
        <v>3.2809917355371905</v>
      </c>
      <c r="AA79" s="102">
        <f t="shared" si="76"/>
        <v>3.2809917355371905</v>
      </c>
      <c r="AB79" s="102">
        <f t="shared" si="76"/>
        <v>3.2809917355371905</v>
      </c>
      <c r="AC79" s="102">
        <f t="shared" si="76"/>
        <v>3.2809917355371905</v>
      </c>
      <c r="AE79" s="102">
        <f>-AE32</f>
        <v>4.5454545454545459</v>
      </c>
      <c r="AF79" s="102">
        <f>-AF32</f>
        <v>4.5454545454545459</v>
      </c>
      <c r="AG79" s="102">
        <f>-AG32</f>
        <v>4.5454545454545459</v>
      </c>
    </row>
    <row r="80" spans="1:33" outlineLevel="1" x14ac:dyDescent="0.2">
      <c r="A80" s="41"/>
      <c r="C80" s="112" t="s">
        <v>273</v>
      </c>
      <c r="E80" s="15">
        <f>E22/(1+VAT.rate)</f>
        <v>47.254132231404952</v>
      </c>
      <c r="F80" s="15">
        <f>F22/(1+VAT.rate)</f>
        <v>57.522727272727266</v>
      </c>
      <c r="G80" s="15">
        <f>G22/(1+VAT.rate)</f>
        <v>66.159090909090907</v>
      </c>
      <c r="I80" s="15">
        <f t="shared" ref="I80:R80" si="77">I22/(1+VAT.rate)</f>
        <v>35.495867768595048</v>
      </c>
      <c r="J80" s="15">
        <f t="shared" si="77"/>
        <v>43.760330578512402</v>
      </c>
      <c r="K80" s="15">
        <f t="shared" si="77"/>
        <v>52.024793388429757</v>
      </c>
      <c r="L80" s="15">
        <f t="shared" si="77"/>
        <v>60.289256198347111</v>
      </c>
      <c r="M80" s="15">
        <f t="shared" si="77"/>
        <v>76.818181818181827</v>
      </c>
      <c r="N80" s="15">
        <f t="shared" si="77"/>
        <v>42.107438016528931</v>
      </c>
      <c r="O80" s="15">
        <f t="shared" si="77"/>
        <v>50.371900826446286</v>
      </c>
      <c r="P80" s="15">
        <f t="shared" si="77"/>
        <v>58.63636363636364</v>
      </c>
      <c r="Q80" s="15">
        <f t="shared" si="77"/>
        <v>66.900826446281002</v>
      </c>
      <c r="R80" s="15">
        <f t="shared" si="77"/>
        <v>83.429752066115711</v>
      </c>
      <c r="T80" s="15">
        <f t="shared" ref="T80:AC80" si="78">T22/(1+VAT.rate)</f>
        <v>35.495867768595048</v>
      </c>
      <c r="U80" s="15">
        <f t="shared" si="78"/>
        <v>43.760330578512402</v>
      </c>
      <c r="V80" s="15">
        <f t="shared" si="78"/>
        <v>52.024793388429757</v>
      </c>
      <c r="W80" s="15">
        <f t="shared" si="78"/>
        <v>60.289256198347111</v>
      </c>
      <c r="X80" s="15">
        <f t="shared" si="78"/>
        <v>76.818181818181827</v>
      </c>
      <c r="Y80" s="15">
        <f t="shared" si="78"/>
        <v>42.107438016528931</v>
      </c>
      <c r="Z80" s="15">
        <f t="shared" si="78"/>
        <v>50.371900826446286</v>
      </c>
      <c r="AA80" s="15">
        <f t="shared" si="78"/>
        <v>58.63636363636364</v>
      </c>
      <c r="AB80" s="15">
        <f t="shared" si="78"/>
        <v>66.900826446281002</v>
      </c>
      <c r="AC80" s="15">
        <f t="shared" si="78"/>
        <v>83.429752066115711</v>
      </c>
      <c r="AE80" s="15">
        <f>AE22/(1+VAT.rate)</f>
        <v>41.239669421487605</v>
      </c>
      <c r="AF80" s="15">
        <f>AF22/(1+VAT.rate)</f>
        <v>49.504132231404959</v>
      </c>
      <c r="AG80" s="15">
        <f>AG22/(1+VAT.rate)</f>
        <v>57.768595041322321</v>
      </c>
    </row>
    <row r="81" spans="1:33" outlineLevel="1" x14ac:dyDescent="0.2">
      <c r="A81" s="41"/>
      <c r="C81" s="112" t="s">
        <v>259</v>
      </c>
      <c r="E81" s="102">
        <f>-E79</f>
        <v>-3.3057851239669422</v>
      </c>
      <c r="F81" s="102">
        <f>-F79</f>
        <v>-3.3057851239669422</v>
      </c>
      <c r="G81" s="102">
        <f>-G79</f>
        <v>-3.3057851239669422</v>
      </c>
      <c r="I81" s="102">
        <f t="shared" ref="I81:R81" si="79">-I79</f>
        <v>-3.2809917355371905</v>
      </c>
      <c r="J81" s="102">
        <f t="shared" si="79"/>
        <v>-3.2809917355371905</v>
      </c>
      <c r="K81" s="102">
        <f t="shared" si="79"/>
        <v>-3.2809917355371905</v>
      </c>
      <c r="L81" s="102">
        <f t="shared" si="79"/>
        <v>-3.2809917355371905</v>
      </c>
      <c r="M81" s="102">
        <f t="shared" si="79"/>
        <v>-3.2809917355371905</v>
      </c>
      <c r="N81" s="102">
        <f t="shared" si="79"/>
        <v>-3.2809917355371905</v>
      </c>
      <c r="O81" s="102">
        <f t="shared" si="79"/>
        <v>-3.2809917355371905</v>
      </c>
      <c r="P81" s="102">
        <f t="shared" si="79"/>
        <v>-3.2809917355371905</v>
      </c>
      <c r="Q81" s="102">
        <f t="shared" si="79"/>
        <v>-3.2809917355371905</v>
      </c>
      <c r="R81" s="102">
        <f t="shared" si="79"/>
        <v>-3.2809917355371905</v>
      </c>
      <c r="T81" s="102">
        <f t="shared" ref="T81:AC81" si="80">-T79</f>
        <v>-3.2809917355371905</v>
      </c>
      <c r="U81" s="102">
        <f t="shared" si="80"/>
        <v>-3.2809917355371905</v>
      </c>
      <c r="V81" s="102">
        <f t="shared" si="80"/>
        <v>-3.2809917355371905</v>
      </c>
      <c r="W81" s="102">
        <f t="shared" si="80"/>
        <v>-3.2809917355371905</v>
      </c>
      <c r="X81" s="102">
        <f t="shared" si="80"/>
        <v>-3.2809917355371905</v>
      </c>
      <c r="Y81" s="102">
        <f t="shared" si="80"/>
        <v>-3.2809917355371905</v>
      </c>
      <c r="Z81" s="102">
        <f t="shared" si="80"/>
        <v>-3.2809917355371905</v>
      </c>
      <c r="AA81" s="102">
        <f t="shared" si="80"/>
        <v>-3.2809917355371905</v>
      </c>
      <c r="AB81" s="102">
        <f t="shared" si="80"/>
        <v>-3.2809917355371905</v>
      </c>
      <c r="AC81" s="102">
        <f t="shared" si="80"/>
        <v>-3.2809917355371905</v>
      </c>
      <c r="AE81" s="102">
        <f>-AE79</f>
        <v>-4.5454545454545459</v>
      </c>
      <c r="AF81" s="102">
        <f>-AF79</f>
        <v>-4.5454545454545459</v>
      </c>
      <c r="AG81" s="102">
        <f>-AG79</f>
        <v>-4.5454545454545459</v>
      </c>
    </row>
    <row r="82" spans="1:33" outlineLevel="1" x14ac:dyDescent="0.2">
      <c r="A82" s="41"/>
      <c r="C82" s="112" t="s">
        <v>227</v>
      </c>
      <c r="E82" s="15">
        <f>-E20/(1+VAT.rate)</f>
        <v>-7.1900826446280988</v>
      </c>
      <c r="F82" s="15">
        <f>-F20/(1+VAT.rate)</f>
        <v>-7.1900826446280988</v>
      </c>
      <c r="G82" s="15">
        <f>-G20/(1+VAT.rate)</f>
        <v>-7.1900826446280988</v>
      </c>
      <c r="I82" s="15">
        <f t="shared" ref="I82:R82" si="81">-I20/(1+VAT.rate)</f>
        <v>-6.1570247933884303</v>
      </c>
      <c r="J82" s="15">
        <f t="shared" si="81"/>
        <v>-6.1570247933884303</v>
      </c>
      <c r="K82" s="15">
        <f t="shared" si="81"/>
        <v>-6.1570247933884303</v>
      </c>
      <c r="L82" s="15">
        <f t="shared" si="81"/>
        <v>-6.1570247933884303</v>
      </c>
      <c r="M82" s="15">
        <f t="shared" si="81"/>
        <v>-6.1570247933884303</v>
      </c>
      <c r="N82" s="15">
        <f t="shared" si="81"/>
        <v>-6.1570247933884303</v>
      </c>
      <c r="O82" s="15">
        <f t="shared" si="81"/>
        <v>-6.1570247933884303</v>
      </c>
      <c r="P82" s="15">
        <f t="shared" si="81"/>
        <v>-6.1570247933884303</v>
      </c>
      <c r="Q82" s="15">
        <f t="shared" si="81"/>
        <v>-6.1570247933884303</v>
      </c>
      <c r="R82" s="15">
        <f t="shared" si="81"/>
        <v>-6.1570247933884303</v>
      </c>
      <c r="T82" s="15">
        <f t="shared" ref="T82:AC82" si="82">-T20/(1+VAT.rate)</f>
        <v>-6.1570247933884303</v>
      </c>
      <c r="U82" s="15">
        <f t="shared" si="82"/>
        <v>-6.1570247933884303</v>
      </c>
      <c r="V82" s="15">
        <f t="shared" si="82"/>
        <v>-6.1570247933884303</v>
      </c>
      <c r="W82" s="15">
        <f t="shared" si="82"/>
        <v>-6.1570247933884303</v>
      </c>
      <c r="X82" s="15">
        <f t="shared" si="82"/>
        <v>-6.1570247933884303</v>
      </c>
      <c r="Y82" s="15">
        <f t="shared" si="82"/>
        <v>-6.1570247933884303</v>
      </c>
      <c r="Z82" s="15">
        <f t="shared" si="82"/>
        <v>-6.1570247933884303</v>
      </c>
      <c r="AA82" s="15">
        <f t="shared" si="82"/>
        <v>-6.1570247933884303</v>
      </c>
      <c r="AB82" s="15">
        <f t="shared" si="82"/>
        <v>-6.1570247933884303</v>
      </c>
      <c r="AC82" s="15">
        <f t="shared" si="82"/>
        <v>-6.1570247933884303</v>
      </c>
      <c r="AE82" s="15">
        <f>-AE20/(1+VAT.rate)</f>
        <v>-8.2644628099173563</v>
      </c>
      <c r="AF82" s="15">
        <f>-AF20/(1+VAT.rate)</f>
        <v>-8.2644628099173563</v>
      </c>
      <c r="AG82" s="15">
        <f>-AG20/(1+VAT.rate)</f>
        <v>-8.2644628099173563</v>
      </c>
    </row>
    <row r="83" spans="1:33" outlineLevel="1" x14ac:dyDescent="0.2">
      <c r="A83" s="41"/>
      <c r="C83" s="112" t="s">
        <v>274</v>
      </c>
      <c r="E83" s="15">
        <f>-((E80+E81+E82)-E72)</f>
        <v>-12.911744731663969</v>
      </c>
      <c r="F83" s="15">
        <f t="shared" ref="F83:AG83" si="83">-((F80+F81+F82)-F72)</f>
        <v>-19.594008890047458</v>
      </c>
      <c r="G83" s="15">
        <f t="shared" si="83"/>
        <v>-18.926763632030834</v>
      </c>
      <c r="H83" s="15">
        <f t="shared" si="83"/>
        <v>0</v>
      </c>
      <c r="I83" s="15">
        <f t="shared" si="83"/>
        <v>-5.693412759357404</v>
      </c>
      <c r="J83" s="15">
        <f t="shared" si="83"/>
        <v>-5.9849850123178214</v>
      </c>
      <c r="K83" s="15">
        <f t="shared" si="83"/>
        <v>-7.6167075333068865</v>
      </c>
      <c r="L83" s="15">
        <f t="shared" si="83"/>
        <v>-7.8114757878432783</v>
      </c>
      <c r="M83" s="15">
        <f t="shared" si="83"/>
        <v>-8.2372260664472918</v>
      </c>
      <c r="N83" s="15">
        <f t="shared" si="83"/>
        <v>-11.496296518143836</v>
      </c>
      <c r="O83" s="15">
        <f t="shared" si="83"/>
        <v>-11.906513720467551</v>
      </c>
      <c r="P83" s="15">
        <f t="shared" si="83"/>
        <v>-17.710946793522155</v>
      </c>
      <c r="Q83" s="15">
        <f t="shared" si="83"/>
        <v>-18.337932993077914</v>
      </c>
      <c r="R83" s="15">
        <f t="shared" si="83"/>
        <v>-19.573109973804407</v>
      </c>
      <c r="S83" s="15">
        <f t="shared" si="83"/>
        <v>0</v>
      </c>
      <c r="T83" s="15">
        <f t="shared" si="83"/>
        <v>-5.693412759357404</v>
      </c>
      <c r="U83" s="15">
        <f t="shared" si="83"/>
        <v>-5.9849850123178214</v>
      </c>
      <c r="V83" s="15">
        <f t="shared" si="83"/>
        <v>-7.6167075333068865</v>
      </c>
      <c r="W83" s="15">
        <f t="shared" si="83"/>
        <v>-7.8114757878432783</v>
      </c>
      <c r="X83" s="15">
        <f t="shared" si="83"/>
        <v>-8.2372260664472918</v>
      </c>
      <c r="Y83" s="15">
        <f t="shared" si="83"/>
        <v>-11.496296518143836</v>
      </c>
      <c r="Z83" s="15">
        <f t="shared" si="83"/>
        <v>-11.906513720467551</v>
      </c>
      <c r="AA83" s="15">
        <f t="shared" si="83"/>
        <v>-17.710946793522155</v>
      </c>
      <c r="AB83" s="15">
        <f t="shared" si="83"/>
        <v>-18.337932993077914</v>
      </c>
      <c r="AC83" s="15">
        <f t="shared" si="83"/>
        <v>-19.573109973804407</v>
      </c>
      <c r="AD83" s="15">
        <f t="shared" si="83"/>
        <v>0</v>
      </c>
      <c r="AE83" s="15">
        <f t="shared" si="83"/>
        <v>-8.4877230806084611</v>
      </c>
      <c r="AF83" s="15">
        <f t="shared" si="83"/>
        <v>-10.603941513032428</v>
      </c>
      <c r="AG83" s="15">
        <f t="shared" si="83"/>
        <v>-15.585674931129478</v>
      </c>
    </row>
    <row r="84" spans="1:33" s="41" customFormat="1" outlineLevel="1" x14ac:dyDescent="0.2">
      <c r="C84" s="112" t="s">
        <v>275</v>
      </c>
      <c r="E84" s="82">
        <v>0</v>
      </c>
      <c r="F84" s="82">
        <v>0</v>
      </c>
      <c r="G84" s="82">
        <v>0</v>
      </c>
      <c r="I84" s="15">
        <f>-(SUM(I80:I83)-MIN(SUM(I80:I83),SUM(N80:N83)))</f>
        <v>0</v>
      </c>
      <c r="J84" s="15">
        <f t="shared" ref="J84:M84" si="84">-(SUM(J80:J83)-MIN(SUM(J80:J83),SUM(O80:O83)))</f>
        <v>0</v>
      </c>
      <c r="K84" s="15">
        <f t="shared" si="84"/>
        <v>-3.4826690122813844</v>
      </c>
      <c r="L84" s="15">
        <f t="shared" si="84"/>
        <v>-3.9148869573007445</v>
      </c>
      <c r="M84" s="15">
        <f t="shared" si="84"/>
        <v>-4.7243136594232311</v>
      </c>
      <c r="N84" s="82">
        <v>0</v>
      </c>
      <c r="O84" s="82">
        <v>0</v>
      </c>
      <c r="P84" s="82">
        <v>0</v>
      </c>
      <c r="Q84" s="82">
        <v>0</v>
      </c>
      <c r="R84" s="82">
        <v>0</v>
      </c>
      <c r="T84" s="15">
        <f>-(SUM(T80:T83)-MIN(SUM(T80:T83),SUM(Y80:Y83)))</f>
        <v>0</v>
      </c>
      <c r="U84" s="15">
        <f t="shared" ref="U84" si="85">-(SUM(U80:U83)-MIN(SUM(U80:U83),SUM(Z80:Z83)))</f>
        <v>0</v>
      </c>
      <c r="V84" s="15">
        <f t="shared" ref="V84" si="86">-(SUM(V80:V83)-MIN(SUM(V80:V83),SUM(AA80:AA83)))</f>
        <v>-3.4826690122813844</v>
      </c>
      <c r="W84" s="15">
        <f t="shared" ref="W84" si="87">-(SUM(W80:W83)-MIN(SUM(W80:W83),SUM(AB80:AB83)))</f>
        <v>-3.9148869573007445</v>
      </c>
      <c r="X84" s="15">
        <f t="shared" ref="X84" si="88">-(SUM(X80:X83)-MIN(SUM(X80:X83),SUM(AC80:AC83)))</f>
        <v>-4.7243136594232311</v>
      </c>
      <c r="Y84" s="82">
        <v>0</v>
      </c>
      <c r="Z84" s="82">
        <v>0</v>
      </c>
      <c r="AA84" s="82">
        <v>0</v>
      </c>
      <c r="AB84" s="82">
        <v>0</v>
      </c>
      <c r="AC84" s="82">
        <v>0</v>
      </c>
      <c r="AE84" s="82">
        <v>0</v>
      </c>
      <c r="AF84" s="82">
        <v>0</v>
      </c>
      <c r="AG84" s="82">
        <v>0</v>
      </c>
    </row>
    <row r="85" spans="1:33" outlineLevel="1" x14ac:dyDescent="0.2">
      <c r="A85" s="41"/>
      <c r="C85" s="112" t="s">
        <v>276</v>
      </c>
      <c r="E85" s="109">
        <f>SUM(E80:E83)</f>
        <v>23.846519731145943</v>
      </c>
      <c r="F85" s="109">
        <f t="shared" ref="F85" si="89">SUM(F80:F83)</f>
        <v>27.432850614084767</v>
      </c>
      <c r="G85" s="109">
        <f>SUM(G80:G83)</f>
        <v>36.736459508465032</v>
      </c>
      <c r="I85" s="109">
        <f>SUM(I80:I84)</f>
        <v>20.364438480312021</v>
      </c>
      <c r="J85" s="109">
        <f t="shared" ref="J85:M85" si="90">SUM(J80:J84)</f>
        <v>28.337329037268958</v>
      </c>
      <c r="K85" s="109">
        <f t="shared" si="90"/>
        <v>31.487400313915863</v>
      </c>
      <c r="L85" s="109">
        <f t="shared" si="90"/>
        <v>39.124876924277466</v>
      </c>
      <c r="M85" s="109">
        <f t="shared" si="90"/>
        <v>54.418625563385689</v>
      </c>
      <c r="N85" s="109">
        <f t="shared" ref="N85" si="91">SUM(N80:N83)</f>
        <v>21.173124969459472</v>
      </c>
      <c r="O85" s="109">
        <f t="shared" ref="O85" si="92">SUM(O80:O83)</f>
        <v>29.027370577053112</v>
      </c>
      <c r="P85" s="109">
        <f t="shared" ref="P85" si="93">SUM(P80:P83)</f>
        <v>31.487400313915863</v>
      </c>
      <c r="Q85" s="109">
        <f t="shared" ref="Q85" si="94">SUM(Q80:Q83)</f>
        <v>39.124876924277466</v>
      </c>
      <c r="R85" s="109">
        <f t="shared" ref="R85" si="95">SUM(R80:R83)</f>
        <v>54.418625563385689</v>
      </c>
      <c r="T85" s="109">
        <f>SUM(T80:T84)</f>
        <v>20.364438480312021</v>
      </c>
      <c r="U85" s="109">
        <f t="shared" ref="U85:X85" si="96">SUM(U80:U84)</f>
        <v>28.337329037268958</v>
      </c>
      <c r="V85" s="109">
        <f t="shared" si="96"/>
        <v>31.487400313915863</v>
      </c>
      <c r="W85" s="109">
        <f t="shared" si="96"/>
        <v>39.124876924277466</v>
      </c>
      <c r="X85" s="109">
        <f t="shared" si="96"/>
        <v>54.418625563385689</v>
      </c>
      <c r="Y85" s="109">
        <f t="shared" ref="Y85:AC85" si="97">SUM(Y80:Y83)</f>
        <v>21.173124969459472</v>
      </c>
      <c r="Z85" s="109">
        <f t="shared" si="97"/>
        <v>29.027370577053112</v>
      </c>
      <c r="AA85" s="109">
        <f t="shared" si="97"/>
        <v>31.487400313915863</v>
      </c>
      <c r="AB85" s="109">
        <f t="shared" si="97"/>
        <v>39.124876924277466</v>
      </c>
      <c r="AC85" s="109">
        <f t="shared" si="97"/>
        <v>54.418625563385689</v>
      </c>
      <c r="AE85" s="109">
        <f t="shared" ref="AE85" si="98">SUM(AE80:AE83)</f>
        <v>19.942028985507243</v>
      </c>
      <c r="AF85" s="109">
        <f t="shared" ref="AF85" si="99">SUM(AF80:AF83)</f>
        <v>26.09027336300063</v>
      </c>
      <c r="AG85" s="109">
        <f t="shared" ref="AG85" si="100">SUM(AG80:AG83)</f>
        <v>29.373002754820941</v>
      </c>
    </row>
    <row r="86" spans="1:33" outlineLevel="1" x14ac:dyDescent="0.2">
      <c r="A86" s="41"/>
      <c r="I86" s="41"/>
    </row>
    <row r="87" spans="1:33" outlineLevel="1" x14ac:dyDescent="0.2">
      <c r="A87" s="41"/>
      <c r="E87" s="110" t="b">
        <f>E80*(1+VAT.rate)=E22</f>
        <v>1</v>
      </c>
      <c r="F87" s="110" t="b">
        <f>F80*(1+VAT.rate)=F22</f>
        <v>1</v>
      </c>
      <c r="G87" s="110" t="b">
        <f>G80*(1+VAT.rate)=G22</f>
        <v>1</v>
      </c>
      <c r="I87" s="110" t="b">
        <f t="shared" ref="I87:R87" si="101">I80*(1+VAT.rate)=I22</f>
        <v>1</v>
      </c>
      <c r="J87" s="110" t="b">
        <f t="shared" si="101"/>
        <v>1</v>
      </c>
      <c r="K87" s="110" t="b">
        <f t="shared" si="101"/>
        <v>1</v>
      </c>
      <c r="L87" s="110" t="b">
        <f t="shared" si="101"/>
        <v>1</v>
      </c>
      <c r="M87" s="110" t="b">
        <f t="shared" si="101"/>
        <v>1</v>
      </c>
      <c r="N87" s="110" t="b">
        <f t="shared" si="101"/>
        <v>1</v>
      </c>
      <c r="O87" s="110" t="b">
        <f t="shared" si="101"/>
        <v>1</v>
      </c>
      <c r="P87" s="110" t="b">
        <f t="shared" si="101"/>
        <v>1</v>
      </c>
      <c r="Q87" s="110" t="b">
        <f t="shared" si="101"/>
        <v>1</v>
      </c>
      <c r="R87" s="110" t="b">
        <f t="shared" si="101"/>
        <v>1</v>
      </c>
      <c r="T87" s="110" t="b">
        <f t="shared" ref="T87:AC87" si="102">T80*(1+VAT.rate)=T22</f>
        <v>1</v>
      </c>
      <c r="U87" s="110" t="b">
        <f t="shared" si="102"/>
        <v>1</v>
      </c>
      <c r="V87" s="110" t="b">
        <f t="shared" si="102"/>
        <v>1</v>
      </c>
      <c r="W87" s="110" t="b">
        <f t="shared" si="102"/>
        <v>1</v>
      </c>
      <c r="X87" s="110" t="b">
        <f t="shared" si="102"/>
        <v>1</v>
      </c>
      <c r="Y87" s="110" t="b">
        <f t="shared" si="102"/>
        <v>1</v>
      </c>
      <c r="Z87" s="110" t="b">
        <f t="shared" si="102"/>
        <v>1</v>
      </c>
      <c r="AA87" s="110" t="b">
        <f t="shared" si="102"/>
        <v>1</v>
      </c>
      <c r="AB87" s="110" t="b">
        <f t="shared" si="102"/>
        <v>1</v>
      </c>
      <c r="AC87" s="110" t="b">
        <f t="shared" si="102"/>
        <v>1</v>
      </c>
      <c r="AE87" s="110" t="b">
        <f>AE80*(1+VAT.rate)=AE22</f>
        <v>1</v>
      </c>
      <c r="AF87" s="110" t="b">
        <f>AF80*(1+VAT.rate)=AF22</f>
        <v>1</v>
      </c>
      <c r="AG87" s="110" t="b">
        <f>AG80*(1+VAT.rate)=AG22</f>
        <v>1</v>
      </c>
    </row>
    <row r="88" spans="1:33" outlineLevel="1" x14ac:dyDescent="0.2">
      <c r="A88" s="41"/>
      <c r="I88" s="110" t="b">
        <f>IF(I84&lt;&gt;0,I85=N85,TRUE)</f>
        <v>1</v>
      </c>
      <c r="J88" s="110" t="b">
        <f t="shared" ref="J88:M88" si="103">IF(J84&lt;&gt;0,J85=O85,TRUE)</f>
        <v>1</v>
      </c>
      <c r="K88" s="110" t="b">
        <f t="shared" si="103"/>
        <v>1</v>
      </c>
      <c r="L88" s="110" t="b">
        <f t="shared" si="103"/>
        <v>1</v>
      </c>
      <c r="M88" s="110" t="b">
        <f t="shared" si="103"/>
        <v>1</v>
      </c>
      <c r="T88" s="110" t="b">
        <f>IF(T84&lt;&gt;0,T85=Y85,TRUE)</f>
        <v>1</v>
      </c>
      <c r="U88" s="110" t="b">
        <f t="shared" ref="U88" si="104">IF(U84&lt;&gt;0,U85=Z85,TRUE)</f>
        <v>1</v>
      </c>
      <c r="V88" s="110" t="b">
        <f t="shared" ref="V88" si="105">IF(V84&lt;&gt;0,V85=AA85,TRUE)</f>
        <v>1</v>
      </c>
      <c r="W88" s="110" t="b">
        <f t="shared" ref="W88" si="106">IF(W84&lt;&gt;0,W85=AB85,TRUE)</f>
        <v>1</v>
      </c>
      <c r="X88" s="110" t="b">
        <f t="shared" ref="X88" si="107">IF(X84&lt;&gt;0,X85=AC85,TRUE)</f>
        <v>1</v>
      </c>
    </row>
    <row r="89" spans="1:33" outlineLevel="1" x14ac:dyDescent="0.2"/>
    <row r="90" spans="1:33" s="41" customFormat="1" ht="12" outlineLevel="1" x14ac:dyDescent="0.2">
      <c r="C90" s="78" t="s">
        <v>277</v>
      </c>
      <c r="E90" s="116" t="b">
        <f t="shared" ref="E90:F90" si="108">ABS(SUM(E91:E97)-E83)&lt;0.001</f>
        <v>1</v>
      </c>
      <c r="F90" s="116" t="b">
        <f t="shared" si="108"/>
        <v>1</v>
      </c>
      <c r="G90" s="116" t="b">
        <f>ABS(SUM(G91:G97)-G83)&lt;0.001</f>
        <v>1</v>
      </c>
      <c r="H90" s="116" t="b">
        <f t="shared" ref="H90:AG90" si="109">ABS(SUM(H91:H97)-H83)&lt;0.001</f>
        <v>1</v>
      </c>
      <c r="I90" s="116" t="b">
        <f t="shared" si="109"/>
        <v>1</v>
      </c>
      <c r="J90" s="116" t="b">
        <f t="shared" si="109"/>
        <v>1</v>
      </c>
      <c r="K90" s="116" t="b">
        <f t="shared" si="109"/>
        <v>1</v>
      </c>
      <c r="L90" s="116" t="b">
        <f t="shared" si="109"/>
        <v>1</v>
      </c>
      <c r="M90" s="116" t="b">
        <f t="shared" si="109"/>
        <v>1</v>
      </c>
      <c r="N90" s="116" t="b">
        <f t="shared" si="109"/>
        <v>1</v>
      </c>
      <c r="O90" s="116" t="b">
        <f t="shared" si="109"/>
        <v>1</v>
      </c>
      <c r="P90" s="116" t="b">
        <f t="shared" si="109"/>
        <v>1</v>
      </c>
      <c r="Q90" s="116" t="b">
        <f t="shared" si="109"/>
        <v>1</v>
      </c>
      <c r="R90" s="116" t="b">
        <f t="shared" si="109"/>
        <v>1</v>
      </c>
      <c r="S90" s="116" t="b">
        <f t="shared" si="109"/>
        <v>1</v>
      </c>
      <c r="T90" s="116" t="b">
        <f t="shared" si="109"/>
        <v>1</v>
      </c>
      <c r="U90" s="116" t="b">
        <f t="shared" si="109"/>
        <v>1</v>
      </c>
      <c r="V90" s="116" t="b">
        <f t="shared" si="109"/>
        <v>1</v>
      </c>
      <c r="W90" s="116" t="b">
        <f t="shared" si="109"/>
        <v>1</v>
      </c>
      <c r="X90" s="116" t="b">
        <f t="shared" si="109"/>
        <v>1</v>
      </c>
      <c r="Y90" s="116" t="b">
        <f t="shared" si="109"/>
        <v>1</v>
      </c>
      <c r="Z90" s="116" t="b">
        <f t="shared" si="109"/>
        <v>1</v>
      </c>
      <c r="AA90" s="116" t="b">
        <f t="shared" si="109"/>
        <v>1</v>
      </c>
      <c r="AB90" s="116" t="b">
        <f t="shared" si="109"/>
        <v>1</v>
      </c>
      <c r="AC90" s="116" t="b">
        <f t="shared" si="109"/>
        <v>1</v>
      </c>
      <c r="AD90" s="116" t="b">
        <f t="shared" si="109"/>
        <v>1</v>
      </c>
      <c r="AE90" s="116" t="b">
        <f t="shared" si="109"/>
        <v>1</v>
      </c>
      <c r="AF90" s="116" t="b">
        <f t="shared" si="109"/>
        <v>1</v>
      </c>
      <c r="AG90" s="116" t="b">
        <f t="shared" si="109"/>
        <v>1</v>
      </c>
    </row>
    <row r="91" spans="1:33" s="41" customFormat="1" outlineLevel="1" x14ac:dyDescent="0.2">
      <c r="C91" s="95" t="s">
        <v>278</v>
      </c>
      <c r="E91" s="15">
        <f t="shared" ref="E91:F91" si="110">-SUM(E46:E47)*(1+E$52)</f>
        <v>0</v>
      </c>
      <c r="F91" s="15">
        <f t="shared" si="110"/>
        <v>-10.7472983990908</v>
      </c>
      <c r="G91" s="15">
        <f>-SUM(G46:G47)*(1+G$52)</f>
        <v>-10.381314902118648</v>
      </c>
      <c r="H91" s="15">
        <f t="shared" ref="H91:AG91" si="111">-SUM(H46:H47)*(1+H$52)</f>
        <v>0</v>
      </c>
      <c r="I91" s="15">
        <f t="shared" si="111"/>
        <v>0</v>
      </c>
      <c r="J91" s="15">
        <f t="shared" si="111"/>
        <v>0</v>
      </c>
      <c r="K91" s="15">
        <f t="shared" si="111"/>
        <v>0</v>
      </c>
      <c r="L91" s="15">
        <f t="shared" si="111"/>
        <v>0</v>
      </c>
      <c r="M91" s="15">
        <f t="shared" si="111"/>
        <v>0</v>
      </c>
      <c r="N91" s="15">
        <f t="shared" si="111"/>
        <v>-5.5767942459288484</v>
      </c>
      <c r="O91" s="15">
        <f t="shared" si="111"/>
        <v>-5.7757884985465839</v>
      </c>
      <c r="P91" s="15">
        <f t="shared" si="111"/>
        <v>-10.852787121657066</v>
      </c>
      <c r="Q91" s="15">
        <f t="shared" si="111"/>
        <v>-11.236987234238525</v>
      </c>
      <c r="R91" s="15">
        <f t="shared" si="111"/>
        <v>-11.993870137545462</v>
      </c>
      <c r="S91" s="15">
        <f t="shared" si="111"/>
        <v>0</v>
      </c>
      <c r="T91" s="15">
        <f t="shared" si="111"/>
        <v>0</v>
      </c>
      <c r="U91" s="15">
        <f t="shared" si="111"/>
        <v>0</v>
      </c>
      <c r="V91" s="15">
        <f t="shared" si="111"/>
        <v>0</v>
      </c>
      <c r="W91" s="15">
        <f t="shared" si="111"/>
        <v>0</v>
      </c>
      <c r="X91" s="15">
        <f t="shared" si="111"/>
        <v>0</v>
      </c>
      <c r="Y91" s="15">
        <f t="shared" si="111"/>
        <v>-5.5767942459288484</v>
      </c>
      <c r="Z91" s="15">
        <f t="shared" si="111"/>
        <v>-5.7757884985465839</v>
      </c>
      <c r="AA91" s="15">
        <f t="shared" si="111"/>
        <v>-10.852787121657066</v>
      </c>
      <c r="AB91" s="15">
        <f t="shared" si="111"/>
        <v>-11.236987234238525</v>
      </c>
      <c r="AC91" s="15">
        <f t="shared" si="111"/>
        <v>-11.993870137545462</v>
      </c>
      <c r="AD91" s="15">
        <f t="shared" si="111"/>
        <v>0</v>
      </c>
      <c r="AE91" s="15">
        <f t="shared" si="111"/>
        <v>-5.4799377170918655</v>
      </c>
      <c r="AF91" s="15">
        <f t="shared" si="111"/>
        <v>-7.819453273998727</v>
      </c>
      <c r="AG91" s="15">
        <f t="shared" si="111"/>
        <v>-12.363636363636365</v>
      </c>
    </row>
    <row r="92" spans="1:33" s="41" customFormat="1" outlineLevel="1" x14ac:dyDescent="0.2">
      <c r="C92" s="95" t="s">
        <v>279</v>
      </c>
      <c r="E92" s="15">
        <f t="shared" ref="E92:F92" si="112">-SUM(E42:E43)*(1+E$52)</f>
        <v>-4.9604953517729324</v>
      </c>
      <c r="F92" s="15">
        <f t="shared" si="112"/>
        <v>-3.3987712103115495</v>
      </c>
      <c r="G92" s="15">
        <f>-SUM(G42:G43)*(1+G$52)</f>
        <v>-3.2830310375939735</v>
      </c>
      <c r="H92" s="15">
        <f t="shared" ref="H92:AG92" si="113">-SUM(H42:H43)*(1+H$52)</f>
        <v>0</v>
      </c>
      <c r="I92" s="15">
        <f t="shared" si="113"/>
        <v>0</v>
      </c>
      <c r="J92" s="15">
        <f t="shared" si="113"/>
        <v>0</v>
      </c>
      <c r="K92" s="15">
        <f t="shared" si="113"/>
        <v>-1.5742255653389994</v>
      </c>
      <c r="L92" s="15">
        <f t="shared" si="113"/>
        <v>-1.6144803820385885</v>
      </c>
      <c r="M92" s="15">
        <f t="shared" si="113"/>
        <v>-1.7024746984932784</v>
      </c>
      <c r="N92" s="15">
        <f t="shared" si="113"/>
        <v>0</v>
      </c>
      <c r="O92" s="15">
        <f t="shared" si="113"/>
        <v>0</v>
      </c>
      <c r="P92" s="15">
        <f t="shared" si="113"/>
        <v>-1.4174484499261868</v>
      </c>
      <c r="Q92" s="15">
        <f t="shared" si="113"/>
        <v>-1.4676276203029208</v>
      </c>
      <c r="R92" s="15">
        <f t="shared" si="113"/>
        <v>-1.5664817198113468</v>
      </c>
      <c r="S92" s="15">
        <f t="shared" si="113"/>
        <v>0</v>
      </c>
      <c r="T92" s="15">
        <f t="shared" si="113"/>
        <v>0</v>
      </c>
      <c r="U92" s="15">
        <f t="shared" si="113"/>
        <v>0</v>
      </c>
      <c r="V92" s="15">
        <f t="shared" si="113"/>
        <v>-1.5742255653389994</v>
      </c>
      <c r="W92" s="15">
        <f t="shared" si="113"/>
        <v>-1.6144803820385885</v>
      </c>
      <c r="X92" s="15">
        <f t="shared" si="113"/>
        <v>-1.7024746984932784</v>
      </c>
      <c r="Y92" s="15">
        <f t="shared" si="113"/>
        <v>0</v>
      </c>
      <c r="Z92" s="15">
        <f t="shared" si="113"/>
        <v>0</v>
      </c>
      <c r="AA92" s="15">
        <f t="shared" si="113"/>
        <v>-1.4174484499261868</v>
      </c>
      <c r="AB92" s="15">
        <f t="shared" si="113"/>
        <v>-1.4676276203029208</v>
      </c>
      <c r="AC92" s="15">
        <f t="shared" si="113"/>
        <v>-1.5664817198113468</v>
      </c>
      <c r="AD92" s="15">
        <f t="shared" si="113"/>
        <v>0</v>
      </c>
      <c r="AE92" s="15">
        <f t="shared" si="113"/>
        <v>0</v>
      </c>
      <c r="AF92" s="15">
        <f t="shared" si="113"/>
        <v>0</v>
      </c>
      <c r="AG92" s="15">
        <f t="shared" si="113"/>
        <v>-0.48705234159779615</v>
      </c>
    </row>
    <row r="93" spans="1:33" s="41" customFormat="1" outlineLevel="1" x14ac:dyDescent="0.2">
      <c r="C93" s="95" t="s">
        <v>245</v>
      </c>
      <c r="E93" s="15">
        <f t="shared" ref="E93:F93" si="114">-E44*(1+E$52)</f>
        <v>-3.6142042635868363</v>
      </c>
      <c r="F93" s="15">
        <f t="shared" si="114"/>
        <v>-2.4763360366568672</v>
      </c>
      <c r="G93" s="15">
        <f>-G44*(1+G$52)</f>
        <v>-2.3920080419628227</v>
      </c>
      <c r="H93" s="15">
        <f t="shared" ref="H93:AG93" si="115">-H44*(1+H$52)</f>
        <v>0</v>
      </c>
      <c r="I93" s="15">
        <f t="shared" si="115"/>
        <v>-2.9965330312407334</v>
      </c>
      <c r="J93" s="15">
        <f t="shared" si="115"/>
        <v>-3.1499921117462164</v>
      </c>
      <c r="K93" s="15">
        <f t="shared" si="115"/>
        <v>-3.1802536673515145</v>
      </c>
      <c r="L93" s="15">
        <f t="shared" si="115"/>
        <v>-3.261576529370886</v>
      </c>
      <c r="M93" s="15">
        <f t="shared" si="115"/>
        <v>-3.4393428252389469</v>
      </c>
      <c r="N93" s="15">
        <f t="shared" si="115"/>
        <v>-3.1155275116920942</v>
      </c>
      <c r="O93" s="15">
        <f t="shared" si="115"/>
        <v>-3.226697485221556</v>
      </c>
      <c r="P93" s="15">
        <f t="shared" si="115"/>
        <v>-2.863532222073105</v>
      </c>
      <c r="Q93" s="15">
        <f t="shared" si="115"/>
        <v>-2.9649042834402444</v>
      </c>
      <c r="R93" s="15">
        <f t="shared" si="115"/>
        <v>-3.1646095349724179</v>
      </c>
      <c r="S93" s="15">
        <f t="shared" si="115"/>
        <v>0</v>
      </c>
      <c r="T93" s="15">
        <f t="shared" si="115"/>
        <v>-2.9965330312407334</v>
      </c>
      <c r="U93" s="15">
        <f t="shared" si="115"/>
        <v>-3.1499921117462164</v>
      </c>
      <c r="V93" s="15">
        <f t="shared" si="115"/>
        <v>-3.1802536673515145</v>
      </c>
      <c r="W93" s="15">
        <f t="shared" si="115"/>
        <v>-3.261576529370886</v>
      </c>
      <c r="X93" s="15">
        <f t="shared" si="115"/>
        <v>-3.4393428252389469</v>
      </c>
      <c r="Y93" s="15">
        <f t="shared" si="115"/>
        <v>-3.1155275116920942</v>
      </c>
      <c r="Z93" s="15">
        <f t="shared" si="115"/>
        <v>-3.226697485221556</v>
      </c>
      <c r="AA93" s="15">
        <f t="shared" si="115"/>
        <v>-2.863532222073105</v>
      </c>
      <c r="AB93" s="15">
        <f t="shared" si="115"/>
        <v>-2.9649042834402444</v>
      </c>
      <c r="AC93" s="15">
        <f t="shared" si="115"/>
        <v>-3.1646095349724179</v>
      </c>
      <c r="AD93" s="15">
        <f t="shared" si="115"/>
        <v>0</v>
      </c>
      <c r="AE93" s="15">
        <f t="shared" si="115"/>
        <v>-2.0601269613127315</v>
      </c>
      <c r="AF93" s="15">
        <f t="shared" si="115"/>
        <v>-1.9071837253655435</v>
      </c>
      <c r="AG93" s="15">
        <f t="shared" si="115"/>
        <v>-1.8732782369146008</v>
      </c>
    </row>
    <row r="94" spans="1:33" s="41" customFormat="1" outlineLevel="1" x14ac:dyDescent="0.2">
      <c r="C94" s="95" t="s">
        <v>149</v>
      </c>
      <c r="E94" s="15">
        <f t="shared" ref="E94:F94" si="116">-E68*(1+E$52)</f>
        <v>-1.8071021317934182</v>
      </c>
      <c r="F94" s="15">
        <f t="shared" si="116"/>
        <v>-1.2381680183284336</v>
      </c>
      <c r="G94" s="15">
        <f>-G68*(1+G$52)</f>
        <v>-1.1960040209814113</v>
      </c>
      <c r="H94" s="15">
        <f t="shared" ref="H94:AG94" si="117">-H68*(1+H$52)</f>
        <v>0</v>
      </c>
      <c r="I94" s="15">
        <f t="shared" si="117"/>
        <v>-1.4982665156203667</v>
      </c>
      <c r="J94" s="15">
        <f t="shared" si="117"/>
        <v>-1.5749960558731082</v>
      </c>
      <c r="K94" s="15">
        <f t="shared" si="117"/>
        <v>-1.5901268336757572</v>
      </c>
      <c r="L94" s="15">
        <f t="shared" si="117"/>
        <v>-1.630788264685443</v>
      </c>
      <c r="M94" s="15">
        <f t="shared" si="117"/>
        <v>-1.7196714126194734</v>
      </c>
      <c r="N94" s="15">
        <f t="shared" si="117"/>
        <v>-1.5577637558460471</v>
      </c>
      <c r="O94" s="15">
        <f t="shared" si="117"/>
        <v>-1.613348742610778</v>
      </c>
      <c r="P94" s="15">
        <f t="shared" si="117"/>
        <v>-1.4317661110365525</v>
      </c>
      <c r="Q94" s="15">
        <f t="shared" si="117"/>
        <v>-1.4824521417201222</v>
      </c>
      <c r="R94" s="15">
        <f t="shared" si="117"/>
        <v>-1.582304767486209</v>
      </c>
      <c r="S94" s="15">
        <f t="shared" si="117"/>
        <v>0</v>
      </c>
      <c r="T94" s="15">
        <f t="shared" si="117"/>
        <v>-1.4982665156203667</v>
      </c>
      <c r="U94" s="15">
        <f t="shared" si="117"/>
        <v>-1.5749960558731082</v>
      </c>
      <c r="V94" s="15">
        <f t="shared" si="117"/>
        <v>-1.5901268336757572</v>
      </c>
      <c r="W94" s="15">
        <f t="shared" si="117"/>
        <v>-1.630788264685443</v>
      </c>
      <c r="X94" s="15">
        <f t="shared" si="117"/>
        <v>-1.7196714126194734</v>
      </c>
      <c r="Y94" s="15">
        <f t="shared" si="117"/>
        <v>-1.5577637558460471</v>
      </c>
      <c r="Z94" s="15">
        <f t="shared" si="117"/>
        <v>-1.613348742610778</v>
      </c>
      <c r="AA94" s="15">
        <f t="shared" si="117"/>
        <v>-1.4317661110365525</v>
      </c>
      <c r="AB94" s="15">
        <f t="shared" si="117"/>
        <v>-1.4824521417201222</v>
      </c>
      <c r="AC94" s="15">
        <f t="shared" si="117"/>
        <v>-1.582304767486209</v>
      </c>
      <c r="AD94" s="15">
        <f t="shared" si="117"/>
        <v>0</v>
      </c>
      <c r="AE94" s="15">
        <f t="shared" si="117"/>
        <v>0</v>
      </c>
      <c r="AF94" s="15">
        <f t="shared" si="117"/>
        <v>0</v>
      </c>
      <c r="AG94" s="15">
        <f t="shared" si="117"/>
        <v>0</v>
      </c>
    </row>
    <row r="95" spans="1:33" s="41" customFormat="1" outlineLevel="1" x14ac:dyDescent="0.2">
      <c r="C95" s="95" t="s">
        <v>267</v>
      </c>
      <c r="E95" s="15">
        <f t="shared" ref="E95:F95" si="118">-E65*(1+E$52)</f>
        <v>-1.4456817054347344</v>
      </c>
      <c r="F95" s="15">
        <f t="shared" si="118"/>
        <v>-0.99053441466274672</v>
      </c>
      <c r="G95" s="15">
        <f>-G65*(1+G$52)</f>
        <v>-0.95680321678512892</v>
      </c>
      <c r="H95" s="15">
        <f t="shared" ref="H95:AG95" si="119">-H65*(1+H$52)</f>
        <v>0</v>
      </c>
      <c r="I95" s="15">
        <f t="shared" si="119"/>
        <v>-1.1986132124962934</v>
      </c>
      <c r="J95" s="15">
        <f t="shared" si="119"/>
        <v>-1.2599968446984864</v>
      </c>
      <c r="K95" s="15">
        <f t="shared" si="119"/>
        <v>-1.2721014669406057</v>
      </c>
      <c r="L95" s="15">
        <f t="shared" si="119"/>
        <v>-1.3046306117483544</v>
      </c>
      <c r="M95" s="15">
        <f t="shared" si="119"/>
        <v>-1.3757371300955785</v>
      </c>
      <c r="N95" s="15">
        <f t="shared" si="119"/>
        <v>-1.2462110046768378</v>
      </c>
      <c r="O95" s="15">
        <f t="shared" si="119"/>
        <v>-1.2906789940886223</v>
      </c>
      <c r="P95" s="15">
        <f t="shared" si="119"/>
        <v>-1.1454128888292419</v>
      </c>
      <c r="Q95" s="15">
        <f t="shared" si="119"/>
        <v>-1.1859617133760978</v>
      </c>
      <c r="R95" s="15">
        <f t="shared" si="119"/>
        <v>-1.2658438139889672</v>
      </c>
      <c r="S95" s="15">
        <f t="shared" si="119"/>
        <v>0</v>
      </c>
      <c r="T95" s="15">
        <f t="shared" si="119"/>
        <v>-1.1986132124962934</v>
      </c>
      <c r="U95" s="15">
        <f t="shared" si="119"/>
        <v>-1.2599968446984864</v>
      </c>
      <c r="V95" s="15">
        <f t="shared" si="119"/>
        <v>-1.2721014669406057</v>
      </c>
      <c r="W95" s="15">
        <f t="shared" si="119"/>
        <v>-1.3046306117483544</v>
      </c>
      <c r="X95" s="15">
        <f t="shared" si="119"/>
        <v>-1.3757371300955785</v>
      </c>
      <c r="Y95" s="15">
        <f t="shared" si="119"/>
        <v>-1.2462110046768378</v>
      </c>
      <c r="Z95" s="15">
        <f t="shared" si="119"/>
        <v>-1.2906789940886223</v>
      </c>
      <c r="AA95" s="15">
        <f t="shared" si="119"/>
        <v>-1.1454128888292419</v>
      </c>
      <c r="AB95" s="15">
        <f t="shared" si="119"/>
        <v>-1.1859617133760978</v>
      </c>
      <c r="AC95" s="15">
        <f t="shared" si="119"/>
        <v>-1.2658438139889672</v>
      </c>
      <c r="AD95" s="15">
        <f t="shared" si="119"/>
        <v>0</v>
      </c>
      <c r="AE95" s="15">
        <f t="shared" si="119"/>
        <v>-0.82405078452509262</v>
      </c>
      <c r="AF95" s="15">
        <f t="shared" si="119"/>
        <v>-0.7628734901462173</v>
      </c>
      <c r="AG95" s="15">
        <f t="shared" si="119"/>
        <v>-0.74931129476584024</v>
      </c>
    </row>
    <row r="96" spans="1:33" s="41" customFormat="1" outlineLevel="1" x14ac:dyDescent="0.2">
      <c r="C96" s="95" t="s">
        <v>96</v>
      </c>
      <c r="E96" s="15">
        <f t="shared" ref="E96:F96" si="120">-E67*(1+E$52)</f>
        <v>-0.3614204263586836</v>
      </c>
      <c r="F96" s="15">
        <f t="shared" si="120"/>
        <v>-0.24763360366568668</v>
      </c>
      <c r="G96" s="15">
        <f>-G67*(1+G$52)</f>
        <v>-0.23920080419628223</v>
      </c>
      <c r="H96" s="15">
        <f t="shared" ref="H96:AG96" si="121">-H67*(1+H$52)</f>
        <v>0</v>
      </c>
      <c r="I96" s="15">
        <f t="shared" si="121"/>
        <v>0</v>
      </c>
      <c r="J96" s="15">
        <f t="shared" si="121"/>
        <v>0</v>
      </c>
      <c r="K96" s="15">
        <f t="shared" si="121"/>
        <v>0</v>
      </c>
      <c r="L96" s="15">
        <f t="shared" si="121"/>
        <v>0</v>
      </c>
      <c r="M96" s="15">
        <f t="shared" si="121"/>
        <v>0</v>
      </c>
      <c r="N96" s="15">
        <f t="shared" si="121"/>
        <v>0</v>
      </c>
      <c r="O96" s="15">
        <f t="shared" si="121"/>
        <v>0</v>
      </c>
      <c r="P96" s="15">
        <f t="shared" si="121"/>
        <v>0</v>
      </c>
      <c r="Q96" s="15">
        <f t="shared" si="121"/>
        <v>0</v>
      </c>
      <c r="R96" s="15">
        <f t="shared" si="121"/>
        <v>0</v>
      </c>
      <c r="S96" s="15">
        <f t="shared" si="121"/>
        <v>0</v>
      </c>
      <c r="T96" s="15">
        <f t="shared" si="121"/>
        <v>0</v>
      </c>
      <c r="U96" s="15">
        <f t="shared" si="121"/>
        <v>0</v>
      </c>
      <c r="V96" s="15">
        <f t="shared" si="121"/>
        <v>0</v>
      </c>
      <c r="W96" s="15">
        <f t="shared" si="121"/>
        <v>0</v>
      </c>
      <c r="X96" s="15">
        <f t="shared" si="121"/>
        <v>0</v>
      </c>
      <c r="Y96" s="15">
        <f t="shared" si="121"/>
        <v>0</v>
      </c>
      <c r="Z96" s="15">
        <f t="shared" si="121"/>
        <v>0</v>
      </c>
      <c r="AA96" s="15">
        <f t="shared" si="121"/>
        <v>0</v>
      </c>
      <c r="AB96" s="15">
        <f t="shared" si="121"/>
        <v>0</v>
      </c>
      <c r="AC96" s="15">
        <f t="shared" si="121"/>
        <v>0</v>
      </c>
      <c r="AD96" s="15">
        <f t="shared" si="121"/>
        <v>0</v>
      </c>
      <c r="AE96" s="15">
        <f t="shared" si="121"/>
        <v>-0.1236076176787639</v>
      </c>
      <c r="AF96" s="15">
        <f t="shared" si="121"/>
        <v>-0.1144310235219326</v>
      </c>
      <c r="AG96" s="15">
        <f t="shared" si="121"/>
        <v>-0.11239669421487604</v>
      </c>
    </row>
    <row r="97" spans="3:33" s="41" customFormat="1" outlineLevel="1" x14ac:dyDescent="0.2">
      <c r="C97" s="95" t="s">
        <v>268</v>
      </c>
      <c r="E97" s="15">
        <f>-E66*(1+E$52)</f>
        <v>-0.7228408527173672</v>
      </c>
      <c r="F97" s="15">
        <f t="shared" ref="F97:AG97" si="122">-F66*(1+F$52)</f>
        <v>-0.49526720733137336</v>
      </c>
      <c r="G97" s="15">
        <f t="shared" si="122"/>
        <v>-0.47840160839256446</v>
      </c>
      <c r="H97" s="15">
        <f t="shared" si="122"/>
        <v>0</v>
      </c>
      <c r="I97" s="15">
        <f t="shared" si="122"/>
        <v>0</v>
      </c>
      <c r="J97" s="15">
        <f t="shared" si="122"/>
        <v>0</v>
      </c>
      <c r="K97" s="15">
        <f t="shared" si="122"/>
        <v>0</v>
      </c>
      <c r="L97" s="15">
        <f t="shared" si="122"/>
        <v>0</v>
      </c>
      <c r="M97" s="15">
        <f t="shared" si="122"/>
        <v>0</v>
      </c>
      <c r="N97" s="15">
        <f t="shared" si="122"/>
        <v>0</v>
      </c>
      <c r="O97" s="15">
        <f t="shared" si="122"/>
        <v>0</v>
      </c>
      <c r="P97" s="15">
        <f t="shared" si="122"/>
        <v>0</v>
      </c>
      <c r="Q97" s="15">
        <f t="shared" si="122"/>
        <v>0</v>
      </c>
      <c r="R97" s="15">
        <f t="shared" si="122"/>
        <v>0</v>
      </c>
      <c r="S97" s="15">
        <f t="shared" si="122"/>
        <v>0</v>
      </c>
      <c r="T97" s="15">
        <f t="shared" si="122"/>
        <v>0</v>
      </c>
      <c r="U97" s="15">
        <f t="shared" si="122"/>
        <v>0</v>
      </c>
      <c r="V97" s="15">
        <f t="shared" si="122"/>
        <v>0</v>
      </c>
      <c r="W97" s="15">
        <f t="shared" si="122"/>
        <v>0</v>
      </c>
      <c r="X97" s="15">
        <f t="shared" si="122"/>
        <v>0</v>
      </c>
      <c r="Y97" s="15">
        <f t="shared" si="122"/>
        <v>0</v>
      </c>
      <c r="Z97" s="15">
        <f t="shared" si="122"/>
        <v>0</v>
      </c>
      <c r="AA97" s="15">
        <f t="shared" si="122"/>
        <v>0</v>
      </c>
      <c r="AB97" s="15">
        <f t="shared" si="122"/>
        <v>0</v>
      </c>
      <c r="AC97" s="15">
        <f t="shared" si="122"/>
        <v>0</v>
      </c>
      <c r="AD97" s="15">
        <f t="shared" si="122"/>
        <v>0</v>
      </c>
      <c r="AE97" s="15">
        <f t="shared" si="122"/>
        <v>0</v>
      </c>
      <c r="AF97" s="15">
        <f t="shared" si="122"/>
        <v>0</v>
      </c>
      <c r="AG97" s="15">
        <f t="shared" si="122"/>
        <v>0</v>
      </c>
    </row>
    <row r="98" spans="3:33" s="41" customFormat="1" x14ac:dyDescent="0.2"/>
    <row r="99" spans="3:33" s="41" customFormat="1" ht="12" x14ac:dyDescent="0.2">
      <c r="C99" s="59" t="s">
        <v>280</v>
      </c>
      <c r="D99" s="59"/>
      <c r="E99" s="59"/>
      <c r="F99" s="59"/>
      <c r="G99" s="59"/>
      <c r="H99" s="59"/>
      <c r="I99" s="59"/>
      <c r="J99" s="59"/>
      <c r="K99" s="59"/>
      <c r="L99" s="59"/>
      <c r="M99" s="59"/>
      <c r="N99" s="59"/>
      <c r="O99" s="59"/>
      <c r="P99" s="59"/>
      <c r="Q99" s="59"/>
      <c r="R99" s="59"/>
      <c r="S99" s="59"/>
      <c r="T99" s="59"/>
      <c r="U99" s="59"/>
      <c r="V99" s="59"/>
      <c r="W99" s="59"/>
      <c r="X99" s="59"/>
      <c r="Y99" s="59"/>
      <c r="Z99" s="59"/>
      <c r="AA99" s="59"/>
      <c r="AB99" s="59"/>
      <c r="AC99" s="59"/>
      <c r="AD99" s="59"/>
      <c r="AE99" s="59"/>
      <c r="AF99" s="59"/>
      <c r="AG99" s="59"/>
    </row>
    <row r="100" spans="3:33" s="41" customFormat="1" x14ac:dyDescent="0.2"/>
    <row r="102" spans="3:33" s="41" customFormat="1" ht="12" x14ac:dyDescent="0.2">
      <c r="C102" s="78" t="s">
        <v>232</v>
      </c>
      <c r="E102" s="87">
        <f>INDEX(chosen.minus,MATCH($E$3,'Values and minus percentages'!$C$66:$C$69,0))</f>
        <v>0.20746012867239169</v>
      </c>
      <c r="F102" s="87">
        <f>INDEX(chosen.minus,MATCH($E$3,'Values and minus percentages'!$C$66:$C$69,0))</f>
        <v>0.20746012867239169</v>
      </c>
      <c r="G102" s="87">
        <f>INDEX(chosen.minus,MATCH($E$3,'Values and minus percentages'!$C$66:$C$69,0))</f>
        <v>0.20746012867239169</v>
      </c>
      <c r="I102" s="87">
        <f>INDEX(chosen.minus,MATCH($I$3,'Values and minus percentages'!$C$66:$C$69,0))</f>
        <v>0.22871079615870746</v>
      </c>
      <c r="J102" s="87">
        <f>INDEX(chosen.minus,MATCH($I$3,'Values and minus percentages'!$C$66:$C$69,0))</f>
        <v>0.22871079615870746</v>
      </c>
      <c r="K102" s="87">
        <f>INDEX(chosen.minus,MATCH($I$3,'Values and minus percentages'!$C$66:$C$69,0))</f>
        <v>0.22871079615870746</v>
      </c>
      <c r="L102" s="87">
        <f>INDEX(chosen.minus,MATCH($I$3,'Values and minus percentages'!$C$66:$C$69,0))</f>
        <v>0.22871079615870746</v>
      </c>
      <c r="M102" s="87">
        <f>INDEX(chosen.minus,MATCH($I$3,'Values and minus percentages'!$C$66:$C$69,0))</f>
        <v>0.22871079615870746</v>
      </c>
      <c r="N102" s="87">
        <f>INDEX(chosen.minus,MATCH($I$3,'Values and minus percentages'!$C$66:$C$69,0))</f>
        <v>0.22871079615870746</v>
      </c>
      <c r="O102" s="87">
        <f>INDEX(chosen.minus,MATCH($I$3,'Values and minus percentages'!$C$66:$C$69,0))</f>
        <v>0.22871079615870746</v>
      </c>
      <c r="P102" s="87">
        <f>INDEX(chosen.minus,MATCH($I$3,'Values and minus percentages'!$C$66:$C$69,0))</f>
        <v>0.22871079615870746</v>
      </c>
      <c r="Q102" s="87">
        <f>INDEX(chosen.minus,MATCH($I$3,'Values and minus percentages'!$C$66:$C$69,0))</f>
        <v>0.22871079615870746</v>
      </c>
      <c r="R102" s="87">
        <f>INDEX(chosen.minus,MATCH($I$3,'Values and minus percentages'!$C$66:$C$69,0))</f>
        <v>0.22871079615870746</v>
      </c>
      <c r="T102" s="87">
        <f>INDEX(chosen.minus,MATCH($T$3,'Values and minus percentages'!$C$66:$C$69,0))</f>
        <v>0.28325393805984955</v>
      </c>
      <c r="U102" s="87">
        <f>INDEX(chosen.minus,MATCH($T$3,'Values and minus percentages'!$C$66:$C$69,0))</f>
        <v>0.28325393805984955</v>
      </c>
      <c r="V102" s="87">
        <f>INDEX(chosen.minus,MATCH($T$3,'Values and minus percentages'!$C$66:$C$69,0))</f>
        <v>0.28325393805984955</v>
      </c>
      <c r="W102" s="87">
        <f>INDEX(chosen.minus,MATCH($T$3,'Values and minus percentages'!$C$66:$C$69,0))</f>
        <v>0.28325393805984955</v>
      </c>
      <c r="X102" s="87">
        <f>INDEX(chosen.minus,MATCH($T$3,'Values and minus percentages'!$C$66:$C$69,0))</f>
        <v>0.28325393805984955</v>
      </c>
      <c r="Y102" s="87">
        <f>INDEX(chosen.minus,MATCH($T$3,'Values and minus percentages'!$C$66:$C$69,0))</f>
        <v>0.28325393805984955</v>
      </c>
      <c r="Z102" s="87">
        <f>INDEX(chosen.minus,MATCH($T$3,'Values and minus percentages'!$C$66:$C$69,0))</f>
        <v>0.28325393805984955</v>
      </c>
      <c r="AA102" s="87">
        <f>INDEX(chosen.minus,MATCH($T$3,'Values and minus percentages'!$C$66:$C$69,0))</f>
        <v>0.28325393805984955</v>
      </c>
      <c r="AB102" s="87">
        <f>INDEX(chosen.minus,MATCH($T$3,'Values and minus percentages'!$C$66:$C$69,0))</f>
        <v>0.28325393805984955</v>
      </c>
      <c r="AC102" s="87">
        <f>INDEX(chosen.minus,MATCH($T$3,'Values and minus percentages'!$C$66:$C$69,0))</f>
        <v>0.28325393805984955</v>
      </c>
      <c r="AE102" s="87">
        <f>INDEX(chosen.minus,MATCH($AE$3,'Values and minus percentages'!$C$66:$C$69,0))</f>
        <v>0.21549535467870184</v>
      </c>
      <c r="AF102" s="87">
        <f>INDEX(chosen.minus,MATCH($AE$3,'Values and minus percentages'!$C$66:$C$69,0))</f>
        <v>0.21549535467870184</v>
      </c>
      <c r="AG102" s="87">
        <f>INDEX(chosen.minus,MATCH($AE$3,'Values and minus percentages'!$C$66:$C$69,0))</f>
        <v>0.21549535467870184</v>
      </c>
    </row>
    <row r="103" spans="3:33" s="41" customFormat="1" x14ac:dyDescent="0.2">
      <c r="C103" s="95" t="s">
        <v>233</v>
      </c>
      <c r="E103" s="93">
        <f>INDEX('Values and minus percentages'!$D$66:$D$69,MATCH($E$3,'Values and minus percentages'!$C$66:$C$69,0))</f>
        <v>0.23</v>
      </c>
      <c r="F103" s="93">
        <f>INDEX('Values and minus percentages'!$D$66:$D$69,MATCH($E$3,'Values and minus percentages'!$C$66:$C$69,0))</f>
        <v>0.23</v>
      </c>
      <c r="G103" s="93">
        <f>INDEX('Values and minus percentages'!$D$66:$D$69,MATCH($E$3,'Values and minus percentages'!$C$66:$C$69,0))</f>
        <v>0.23</v>
      </c>
      <c r="I103" s="93">
        <f>INDEX('Values and minus percentages'!$D$66:$D$69,MATCH($I$3,'Values and minus percentages'!$C$66:$C$69,0))</f>
        <v>0.23</v>
      </c>
      <c r="J103" s="93">
        <f>INDEX('Values and minus percentages'!$D$66:$D$69,MATCH($I$3,'Values and minus percentages'!$C$66:$C$69,0))</f>
        <v>0.23</v>
      </c>
      <c r="K103" s="93">
        <f>INDEX('Values and minus percentages'!$D$66:$D$69,MATCH($I$3,'Values and minus percentages'!$C$66:$C$69,0))</f>
        <v>0.23</v>
      </c>
      <c r="L103" s="93">
        <f>INDEX('Values and minus percentages'!$D$66:$D$69,MATCH($I$3,'Values and minus percentages'!$C$66:$C$69,0))</f>
        <v>0.23</v>
      </c>
      <c r="M103" s="93">
        <f>INDEX('Values and minus percentages'!$D$66:$D$69,MATCH($I$3,'Values and minus percentages'!$C$66:$C$69,0))</f>
        <v>0.23</v>
      </c>
      <c r="N103" s="93">
        <f>INDEX('Values and minus percentages'!$D$66:$D$69,MATCH($I$3,'Values and minus percentages'!$C$66:$C$69,0))</f>
        <v>0.23</v>
      </c>
      <c r="O103" s="93">
        <f>INDEX('Values and minus percentages'!$D$66:$D$69,MATCH($I$3,'Values and minus percentages'!$C$66:$C$69,0))</f>
        <v>0.23</v>
      </c>
      <c r="P103" s="93">
        <f>INDEX('Values and minus percentages'!$D$66:$D$69,MATCH($I$3,'Values and minus percentages'!$C$66:$C$69,0))</f>
        <v>0.23</v>
      </c>
      <c r="Q103" s="93">
        <f>INDEX('Values and minus percentages'!$D$66:$D$69,MATCH($I$3,'Values and minus percentages'!$C$66:$C$69,0))</f>
        <v>0.23</v>
      </c>
      <c r="R103" s="93">
        <f>INDEX('Values and minus percentages'!$D$66:$D$69,MATCH($I$3,'Values and minus percentages'!$C$66:$C$69,0))</f>
        <v>0.23</v>
      </c>
      <c r="T103" s="93">
        <f>INDEX('Values and minus percentages'!$D$66:$D$69,MATCH($I$3,'Values and minus percentages'!$C$66:$C$69,0))</f>
        <v>0.23</v>
      </c>
      <c r="U103" s="93">
        <f>INDEX('Values and minus percentages'!$D$66:$D$69,MATCH($I$3,'Values and minus percentages'!$C$66:$C$69,0))</f>
        <v>0.23</v>
      </c>
      <c r="V103" s="93">
        <f>INDEX('Values and minus percentages'!$D$66:$D$69,MATCH($I$3,'Values and minus percentages'!$C$66:$C$69,0))</f>
        <v>0.23</v>
      </c>
      <c r="W103" s="93">
        <f>INDEX('Values and minus percentages'!$D$66:$D$69,MATCH($I$3,'Values and minus percentages'!$C$66:$C$69,0))</f>
        <v>0.23</v>
      </c>
      <c r="X103" s="93">
        <f>INDEX('Values and minus percentages'!$D$66:$D$69,MATCH($I$3,'Values and minus percentages'!$C$66:$C$69,0))</f>
        <v>0.23</v>
      </c>
      <c r="Y103" s="93">
        <f>INDEX('Values and minus percentages'!$D$66:$D$69,MATCH($I$3,'Values and minus percentages'!$C$66:$C$69,0))</f>
        <v>0.23</v>
      </c>
      <c r="Z103" s="93">
        <f>INDEX('Values and minus percentages'!$D$66:$D$69,MATCH($I$3,'Values and minus percentages'!$C$66:$C$69,0))</f>
        <v>0.23</v>
      </c>
      <c r="AA103" s="93">
        <f>INDEX('Values and minus percentages'!$D$66:$D$69,MATCH($I$3,'Values and minus percentages'!$C$66:$C$69,0))</f>
        <v>0.23</v>
      </c>
      <c r="AB103" s="93">
        <f>INDEX('Values and minus percentages'!$D$66:$D$69,MATCH($I$3,'Values and minus percentages'!$C$66:$C$69,0))</f>
        <v>0.23</v>
      </c>
      <c r="AC103" s="93">
        <f>INDEX('Values and minus percentages'!$D$66:$D$69,MATCH($I$3,'Values and minus percentages'!$C$66:$C$69,0))</f>
        <v>0.23</v>
      </c>
      <c r="AE103" s="93">
        <f>INDEX('Values and minus percentages'!$D$66:$D$69,MATCH($AE$3,'Values and minus percentages'!$C$66:$C$69,0))</f>
        <v>0.2</v>
      </c>
      <c r="AF103" s="93">
        <f>INDEX('Values and minus percentages'!$D$66:$D$69,MATCH($AE$3,'Values and minus percentages'!$C$66:$C$69,0))</f>
        <v>0.2</v>
      </c>
      <c r="AG103" s="93">
        <f>INDEX('Values and minus percentages'!$D$66:$D$69,MATCH($AE$3,'Values and minus percentages'!$C$66:$C$69,0))</f>
        <v>0.2</v>
      </c>
    </row>
    <row r="104" spans="3:33" x14ac:dyDescent="0.2">
      <c r="C104" s="41"/>
    </row>
    <row r="105" spans="3:33" s="41" customFormat="1" ht="12" x14ac:dyDescent="0.2">
      <c r="C105" s="78" t="s">
        <v>234</v>
      </c>
      <c r="E105" s="101">
        <f>E72*(1-E102)</f>
        <v>18.899317679333677</v>
      </c>
      <c r="F105" s="101">
        <f>F72*(1-F102)</f>
        <v>21.741627895836242</v>
      </c>
      <c r="G105" s="101">
        <f>G72*(1-G102)</f>
        <v>29.115108891870769</v>
      </c>
      <c r="H105" s="15"/>
      <c r="I105" s="101">
        <f t="shared" ref="I105:AG105" si="123">I72*(1-I102)</f>
        <v>15.70687154215484</v>
      </c>
      <c r="J105" s="101">
        <f t="shared" si="123"/>
        <v>21.856275952143914</v>
      </c>
      <c r="K105" s="101">
        <f t="shared" si="123"/>
        <v>26.972036928877479</v>
      </c>
      <c r="L105" s="101">
        <f t="shared" si="123"/>
        <v>33.196105217739678</v>
      </c>
      <c r="M105" s="101">
        <f t="shared" si="123"/>
        <v>45.616310505994242</v>
      </c>
      <c r="N105" s="101">
        <f t="shared" si="123"/>
        <v>16.330602700526587</v>
      </c>
      <c r="O105" s="101">
        <f t="shared" si="123"/>
        <v>22.388497541981454</v>
      </c>
      <c r="P105" s="101">
        <f t="shared" si="123"/>
        <v>24.285891919152231</v>
      </c>
      <c r="Q105" s="101">
        <f t="shared" si="123"/>
        <v>30.176595173314524</v>
      </c>
      <c r="R105" s="101">
        <f t="shared" si="123"/>
        <v>41.97249838492116</v>
      </c>
      <c r="S105" s="101">
        <f t="shared" si="123"/>
        <v>0</v>
      </c>
      <c r="T105" s="101">
        <f t="shared" si="123"/>
        <v>14.596131084386103</v>
      </c>
      <c r="U105" s="101">
        <f t="shared" si="123"/>
        <v>20.3106689933648</v>
      </c>
      <c r="V105" s="101">
        <f t="shared" si="123"/>
        <v>25.064659475325929</v>
      </c>
      <c r="W105" s="101">
        <f t="shared" si="123"/>
        <v>30.848581268955105</v>
      </c>
      <c r="X105" s="101">
        <f t="shared" si="123"/>
        <v>42.390468779513952</v>
      </c>
      <c r="Y105" s="101">
        <f t="shared" si="123"/>
        <v>15.175753940826745</v>
      </c>
      <c r="Z105" s="101">
        <f t="shared" si="123"/>
        <v>20.805253549580211</v>
      </c>
      <c r="AA105" s="101">
        <f t="shared" si="123"/>
        <v>22.568470175732251</v>
      </c>
      <c r="AB105" s="101">
        <f t="shared" si="123"/>
        <v>28.042601459368939</v>
      </c>
      <c r="AC105" s="101">
        <f t="shared" si="123"/>
        <v>39.004335568752296</v>
      </c>
      <c r="AD105" s="101">
        <f t="shared" si="123"/>
        <v>0</v>
      </c>
      <c r="AE105" s="101">
        <f t="shared" si="123"/>
        <v>15.644614376262407</v>
      </c>
      <c r="AF105" s="101">
        <f t="shared" si="123"/>
        <v>20.467940650976523</v>
      </c>
      <c r="AG105" s="101">
        <f t="shared" si="123"/>
        <v>23.043257108192318</v>
      </c>
    </row>
    <row r="106" spans="3:33" x14ac:dyDescent="0.2">
      <c r="C106" s="95" t="s">
        <v>235</v>
      </c>
      <c r="E106" s="85">
        <v>30.348181818181811</v>
      </c>
      <c r="F106" s="85">
        <v>29.879308203508</v>
      </c>
      <c r="G106" s="85">
        <v>37.003376623376639</v>
      </c>
      <c r="I106" s="85">
        <v>24.80876363636364</v>
      </c>
      <c r="J106" s="85">
        <v>31.172400000000007</v>
      </c>
      <c r="K106" s="85">
        <v>37.536036363636363</v>
      </c>
      <c r="L106" s="85">
        <v>43.89967272727273</v>
      </c>
      <c r="M106" s="85">
        <v>56.626945454545464</v>
      </c>
      <c r="N106" s="85">
        <v>25.024003677891645</v>
      </c>
      <c r="O106" s="85">
        <v>31.337216184404497</v>
      </c>
      <c r="P106" s="85">
        <v>33.221592537353253</v>
      </c>
      <c r="Q106" s="85">
        <v>39.40840078893747</v>
      </c>
      <c r="R106" s="85">
        <v>51.711854267948397</v>
      </c>
      <c r="T106" s="85">
        <v>24.80876363636364</v>
      </c>
      <c r="U106" s="85">
        <v>31.172400000000007</v>
      </c>
      <c r="V106" s="85">
        <v>37.536036363636363</v>
      </c>
      <c r="W106" s="85">
        <v>43.89967272727273</v>
      </c>
      <c r="X106" s="85">
        <v>56.626945454545464</v>
      </c>
      <c r="Y106" s="85">
        <v>25.024003677891645</v>
      </c>
      <c r="Z106" s="85">
        <v>31.337216184404497</v>
      </c>
      <c r="AA106" s="85">
        <v>33.221592537353253</v>
      </c>
      <c r="AB106" s="85">
        <v>39.40840078893747</v>
      </c>
      <c r="AC106" s="85">
        <v>51.711854267948397</v>
      </c>
      <c r="AE106" s="85">
        <v>23.092309562038139</v>
      </c>
      <c r="AF106" s="85">
        <v>28.251557081271432</v>
      </c>
      <c r="AG106" s="85">
        <v>29.691100052831924</v>
      </c>
    </row>
    <row r="107" spans="3:33" x14ac:dyDescent="0.2">
      <c r="C107" s="95" t="s">
        <v>236</v>
      </c>
      <c r="E107" s="15">
        <f>E105-E106</f>
        <v>-11.448864138848133</v>
      </c>
      <c r="F107" s="15">
        <f>F105-F106</f>
        <v>-8.1376803076717579</v>
      </c>
      <c r="G107" s="15">
        <f>G105-G106</f>
        <v>-7.88826773150587</v>
      </c>
      <c r="I107" s="15">
        <f t="shared" ref="I107:R107" si="124">I105-I106</f>
        <v>-9.1018920942088002</v>
      </c>
      <c r="J107" s="15">
        <f t="shared" si="124"/>
        <v>-9.3161240478560927</v>
      </c>
      <c r="K107" s="15">
        <f t="shared" si="124"/>
        <v>-10.563999434758884</v>
      </c>
      <c r="L107" s="15">
        <f t="shared" si="124"/>
        <v>-10.703567509533052</v>
      </c>
      <c r="M107" s="15">
        <f t="shared" si="124"/>
        <v>-11.010634948551221</v>
      </c>
      <c r="N107" s="15">
        <f t="shared" si="124"/>
        <v>-8.6934009773650587</v>
      </c>
      <c r="O107" s="15">
        <f t="shared" si="124"/>
        <v>-8.9487186424230423</v>
      </c>
      <c r="P107" s="15">
        <f t="shared" si="124"/>
        <v>-8.9357006182010217</v>
      </c>
      <c r="Q107" s="15">
        <f t="shared" si="124"/>
        <v>-9.231805615622946</v>
      </c>
      <c r="R107" s="15">
        <f t="shared" si="124"/>
        <v>-9.7393558830272369</v>
      </c>
      <c r="T107" s="15">
        <f t="shared" ref="T107" si="125">T105-T106</f>
        <v>-10.212632551977537</v>
      </c>
      <c r="U107" s="15">
        <f t="shared" ref="U107" si="126">U105-U106</f>
        <v>-10.861731006635207</v>
      </c>
      <c r="V107" s="15">
        <f t="shared" ref="V107" si="127">V105-V106</f>
        <v>-12.471376888310434</v>
      </c>
      <c r="W107" s="15">
        <f t="shared" ref="W107" si="128">W105-W106</f>
        <v>-13.051091458317625</v>
      </c>
      <c r="X107" s="15">
        <f t="shared" ref="X107" si="129">X105-X106</f>
        <v>-14.236476675031511</v>
      </c>
      <c r="Y107" s="15">
        <f t="shared" ref="Y107" si="130">Y105-Y106</f>
        <v>-9.8482497370649007</v>
      </c>
      <c r="Z107" s="15">
        <f t="shared" ref="Z107" si="131">Z105-Z106</f>
        <v>-10.531962634824286</v>
      </c>
      <c r="AA107" s="15">
        <f t="shared" ref="AA107" si="132">AA105-AA106</f>
        <v>-10.653122361621001</v>
      </c>
      <c r="AB107" s="15">
        <f t="shared" ref="AB107" si="133">AB105-AB106</f>
        <v>-11.365799329568532</v>
      </c>
      <c r="AC107" s="15">
        <f t="shared" ref="AC107" si="134">AC105-AC106</f>
        <v>-12.7075186991961</v>
      </c>
      <c r="AE107" s="15">
        <f>AE105-AE106</f>
        <v>-7.4476951857757321</v>
      </c>
      <c r="AF107" s="15">
        <f>AF105-AF106</f>
        <v>-7.7836164302949093</v>
      </c>
      <c r="AG107" s="15">
        <f>AG105-AG106</f>
        <v>-6.6478429446396063</v>
      </c>
    </row>
    <row r="108" spans="3:33" x14ac:dyDescent="0.2">
      <c r="C108" s="95" t="s">
        <v>225</v>
      </c>
      <c r="E108" s="75">
        <f>E105/E106-1</f>
        <v>-0.37725041346592425</v>
      </c>
      <c r="F108" s="75">
        <f>F105/F106-1</f>
        <v>-0.2723516974437965</v>
      </c>
      <c r="G108" s="75">
        <f>G105/G106-1</f>
        <v>-0.21317697062604035</v>
      </c>
      <c r="I108" s="75">
        <f t="shared" ref="I108:R108" si="135">I105/I106-1</f>
        <v>-0.36688213196032193</v>
      </c>
      <c r="J108" s="75">
        <f t="shared" si="135"/>
        <v>-0.29885809395029228</v>
      </c>
      <c r="K108" s="75">
        <f t="shared" si="135"/>
        <v>-0.28143619993380353</v>
      </c>
      <c r="L108" s="75">
        <f t="shared" si="135"/>
        <v>-0.24381884521165109</v>
      </c>
      <c r="M108" s="75">
        <f t="shared" si="135"/>
        <v>-0.19444161891779022</v>
      </c>
      <c r="N108" s="75">
        <f t="shared" si="135"/>
        <v>-0.34740248160391518</v>
      </c>
      <c r="O108" s="75">
        <f t="shared" si="135"/>
        <v>-0.28556201641409762</v>
      </c>
      <c r="P108" s="75">
        <f t="shared" si="135"/>
        <v>-0.26897267517064438</v>
      </c>
      <c r="Q108" s="75">
        <f t="shared" si="135"/>
        <v>-0.23425983878580658</v>
      </c>
      <c r="R108" s="75">
        <f t="shared" si="135"/>
        <v>-0.18833894125246642</v>
      </c>
      <c r="T108" s="75">
        <f t="shared" ref="T108:AC108" si="136">T105/T106-1</f>
        <v>-0.41165423241843013</v>
      </c>
      <c r="U108" s="75">
        <f t="shared" si="136"/>
        <v>-0.3484406400095984</v>
      </c>
      <c r="V108" s="75">
        <f t="shared" si="136"/>
        <v>-0.3322507674356443</v>
      </c>
      <c r="W108" s="75">
        <f t="shared" si="136"/>
        <v>-0.29729359349436835</v>
      </c>
      <c r="X108" s="75">
        <f t="shared" si="136"/>
        <v>-0.25140816903958119</v>
      </c>
      <c r="Y108" s="75">
        <f t="shared" si="136"/>
        <v>-0.39355212154822738</v>
      </c>
      <c r="Z108" s="75">
        <f t="shared" si="136"/>
        <v>-0.33608481917630251</v>
      </c>
      <c r="AA108" s="75">
        <f t="shared" si="136"/>
        <v>-0.32066862386693185</v>
      </c>
      <c r="AB108" s="75">
        <f t="shared" si="136"/>
        <v>-0.28841056987928015</v>
      </c>
      <c r="AC108" s="75">
        <f t="shared" si="136"/>
        <v>-0.24573705350713693</v>
      </c>
      <c r="AE108" s="75">
        <f>AE105/AE106-1</f>
        <v>-0.32251841963954664</v>
      </c>
      <c r="AF108" s="75">
        <f>AF105/AF106-1</f>
        <v>-0.27551105972331824</v>
      </c>
      <c r="AG108" s="75">
        <f>AG105/AG106-1</f>
        <v>-0.22390019005057171</v>
      </c>
    </row>
    <row r="110" spans="3:33" s="41" customFormat="1" x14ac:dyDescent="0.2">
      <c r="I110" s="109"/>
      <c r="J110" s="109"/>
      <c r="K110" s="109"/>
      <c r="L110" s="109"/>
      <c r="M110" s="109"/>
      <c r="T110" s="109"/>
      <c r="U110" s="109"/>
      <c r="V110" s="109"/>
      <c r="W110" s="109"/>
      <c r="X110" s="109"/>
    </row>
  </sheetData>
  <mergeCells count="4">
    <mergeCell ref="AE3:AG3"/>
    <mergeCell ref="I3:R3"/>
    <mergeCell ref="E3:G3"/>
    <mergeCell ref="T3:AC3"/>
  </mergeCells>
  <phoneticPr fontId="0" type="noConversion"/>
  <pageMargins left="0.70866141732283472" right="0.70866141732283472" top="0.51181102362204722" bottom="0.51181102362204722" header="0.51181102362204722" footer="0.35433070866141736"/>
  <pageSetup paperSize="9" orientation="landscape" horizontalDpi="4294967292" verticalDpi="4294967292" r:id="rId1"/>
  <headerFooter alignWithMargins="0">
    <oddFooter xml:space="preserve">&amp;L&amp;F : &amp;A&amp;CPrinted at &amp;T on &amp;D&amp;RCommercial in confidence © Analysys Mason </oddFooter>
  </headerFooter>
  <ignoredErrors>
    <ignoredError sqref="AE103:AG103 S103"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Version_x0020_Published_x0020_To_x0020_Library xmlns="2b4b6fc7-bde4-44a8-8bca-a78eb25a27e9" xsi:nil="true"/>
    <d4ec9b080060429989fa5f940ee3f852 xmlns="2b4b6fc7-bde4-44a8-8bca-a78eb25a27e9">
      <Terms xmlns="http://schemas.microsoft.com/office/infopath/2007/PartnerControls">
        <TermInfo xmlns="http://schemas.microsoft.com/office/infopath/2007/PartnerControls">
          <TermName xmlns="http://schemas.microsoft.com/office/infopath/2007/PartnerControls">Telecom en Media</TermName>
          <TermId xmlns="http://schemas.microsoft.com/office/infopath/2007/PartnerControls">0d70e459-47d9-475b-bd99-b3a781cfdf71</TermId>
        </TermInfo>
      </Terms>
    </d4ec9b080060429989fa5f940ee3f852>
    <o3cf37d2a5d34fd7955003a053893e5e xmlns="2b4b6fc7-bde4-44a8-8bca-a78eb25a27e9">
      <Terms xmlns="http://schemas.microsoft.com/office/infopath/2007/PartnerControls"/>
    </o3cf37d2a5d34fd7955003a053893e5e>
    <Dossier_x0020_Number xmlns="2b4b6fc7-bde4-44a8-8bca-a78eb25a27e9">2014-000809</Dossier_x0020_Number>
    <Version_x0020_Published_x0020_to_x0020_Internet xmlns="2b4b6fc7-bde4-44a8-8bca-a78eb25a27e9" xsi:nil="true"/>
    <Group_x0020_Date xmlns="2b4b6fc7-bde4-44a8-8bca-a78eb25a27e9" xsi:nil="true"/>
    <ma0d6816d453412a898e0908e90b1a73 xmlns="2b4b6fc7-bde4-44a8-8bca-a78eb25a27e9">
      <Terms xmlns="http://schemas.microsoft.com/office/infopath/2007/PartnerControls">
        <TermInfo xmlns="http://schemas.microsoft.com/office/infopath/2007/PartnerControls">
          <TermName xmlns="http://schemas.microsoft.com/office/infopath/2007/PartnerControls">Decisions</TermName>
          <TermId xmlns="http://schemas.microsoft.com/office/infopath/2007/PartnerControls">866fd883-9628-4942-8eec-786d60a02172</TermId>
        </TermInfo>
      </Terms>
    </ma0d6816d453412a898e0908e90b1a73>
    <Group_x0020_Name xmlns="2b4b6fc7-bde4-44a8-8bca-a78eb25a27e9" xsi:nil="true"/>
    <TaxCatchAll xmlns="2b4b6fc7-bde4-44a8-8bca-a78eb25a27e9">
      <Value>119</Value>
      <Value>77</Value>
    </TaxCatchAll>
    <QuickPartDocumentId xmlns="2b4b6fc7-bde4-44a8-8bca-a78eb25a27e9">DS14-9927-229</QuickPartDocumentId>
    <History_x0020_of_x0020_Remarks xmlns="2b4b6fc7-bde4-44a8-8bca-a78eb25a27e9" xsi:nil="true"/>
    <Administrative xmlns="2b4b6fc7-bde4-44a8-8bca-a78eb25a27e9">false</Administrative>
    <Confidential1 xmlns="2b4b6fc7-bde4-44a8-8bca-a78eb25a27e9">false</Confidential1>
    <_dlc_DocId xmlns="2b4b6fc7-bde4-44a8-8bca-a78eb25a27e9">DS14-9927-229</_dlc_DocId>
    <_dlc_DocIdUrl xmlns="2b4b6fc7-bde4-44a8-8bca-a78eb25a27e9">
      <Url>http://teamworkingspace.bipt.local/sites/dossiers2014/6/2014000809/_layouts/DocIdRedir.aspx?ID=DS14-9927-229</Url>
      <Description>DS14-9927-229</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customXsn xmlns="http://schemas.microsoft.com/office/2006/metadata/customXsn">
  <xsnLocation/>
  <cached>True</cached>
  <openByDefault>True</openByDefault>
  <xsnScope/>
</customXsn>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Receiver>
    <Name>Add Dossier Service and Service Nr Eventhandler (Added)</Name>
    <Synchronization>Synchronous</Synchronization>
    <Type>10001</Type>
    <SequenceNumber>10030</SequenceNumber>
    <Assembly>BIPT.Ged, Version=1.0.0.0, Culture=neutral, PublicKeyToken=423c9e81cd84949a</Assembly>
    <Class>BIPT.Ged.EventReceivers.FillOutDossierServiceAndServiceNumber.FillOutDossierServiceAndServiceNumber</Class>
    <Data/>
    <Filter/>
  </Receiver>
  <Receiver>
    <Name>addin</Name>
    <Synchronization>Synchronous</Synchronization>
    <Type>1</Type>
    <SequenceNumber>10240</SequenceNumber>
    <Assembly>BIPT.Ged, Version=1.0.0.0, Culture=neutral, PublicKeyToken=423c9e81cd84949a</Assembly>
    <Class>BIPT.Ged.EventReceivers.FillOutDossierServiceAndServiceNumber.FillOutDossierServiceAndServiceNumber</Class>
    <Data/>
    <Filter/>
  </Receiver>
</spe:Receivers>
</file>

<file path=customXml/item5.xml><?xml version="1.0" encoding="utf-8"?>
<ct:contentTypeSchema xmlns:ct="http://schemas.microsoft.com/office/2006/metadata/contentType" xmlns:ma="http://schemas.microsoft.com/office/2006/metadata/properties/metaAttributes" ct:_="" ma:_="" ma:contentTypeName="Dossier Document Telecom FR" ma:contentTypeID="0x0101004FA21861B553C741A1AA3F2E5831C1CC050A02009F0EADBAC43CDC44A6BB8D97CFBD6481" ma:contentTypeVersion="8" ma:contentTypeDescription="Een nieuw document maken." ma:contentTypeScope="" ma:versionID="1e1257a1f2a90f5ee99f26fee93b8263">
  <xsd:schema xmlns:xsd="http://www.w3.org/2001/XMLSchema" xmlns:xs="http://www.w3.org/2001/XMLSchema" xmlns:p="http://schemas.microsoft.com/office/2006/metadata/properties" xmlns:ns1="2b4b6fc7-bde4-44a8-8bca-a78eb25a27e9" targetNamespace="http://schemas.microsoft.com/office/2006/metadata/properties" ma:root="true" ma:fieldsID="e9bdb9cf2742ee04d232fe26432c5675" ns1:_="">
    <xsd:import namespace="2b4b6fc7-bde4-44a8-8bca-a78eb25a27e9"/>
    <xsd:element name="properties">
      <xsd:complexType>
        <xsd:sequence>
          <xsd:element name="documentManagement">
            <xsd:complexType>
              <xsd:all>
                <xsd:element ref="ns1:Group_x0020_Name" minOccurs="0"/>
                <xsd:element ref="ns1:Group_x0020_Date" minOccurs="0"/>
                <xsd:element ref="ns1:Dossier_x0020_Number" minOccurs="0"/>
                <xsd:element ref="ns1:History_x0020_of_x0020_Remarks" minOccurs="0"/>
                <xsd:element ref="ns1:Administrative" minOccurs="0"/>
                <xsd:element ref="ns1:Confidential1" minOccurs="0"/>
                <xsd:element ref="ns1:Version_x0020_Published_x0020_To_x0020_Library" minOccurs="0"/>
                <xsd:element ref="ns1:Version_x0020_Published_x0020_to_x0020_Internet" minOccurs="0"/>
                <xsd:element ref="ns1:QuickPartDocumentId" minOccurs="0"/>
                <xsd:element ref="ns1:d4ec9b080060429989fa5f940ee3f852" minOccurs="0"/>
                <xsd:element ref="ns1:TaxCatchAll" minOccurs="0"/>
                <xsd:element ref="ns1:o3cf37d2a5d34fd7955003a053893e5e" minOccurs="0"/>
                <xsd:element ref="ns1:_dlc_DocId" minOccurs="0"/>
                <xsd:element ref="ns1:TaxCatchAllLabel" minOccurs="0"/>
                <xsd:element ref="ns1:ma0d6816d453412a898e0908e90b1a73" minOccurs="0"/>
                <xsd:element ref="ns1:_dlc_DocIdUrl" minOccurs="0"/>
                <xsd:element ref="ns1: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6fc7-bde4-44a8-8bca-a78eb25a27e9" elementFormDefault="qualified">
    <xsd:import namespace="http://schemas.microsoft.com/office/2006/documentManagement/types"/>
    <xsd:import namespace="http://schemas.microsoft.com/office/infopath/2007/PartnerControls"/>
    <xsd:element name="Group_x0020_Name" ma:index="0" nillable="true" ma:displayName="Group Name" ma:list="{f15f9345-aa06-4986-9291-33fea2533fb7}" ma:internalName="Group_x0020_Name" ma:showField="Title" ma:web="446dbfdb-00e9-481a-9d79-1855c65de329">
      <xsd:simpleType>
        <xsd:restriction base="dms:Lookup"/>
      </xsd:simpleType>
    </xsd:element>
    <xsd:element name="Group_x0020_Date" ma:index="1" nillable="true" ma:displayName="Group Date" ma:format="DateOnly" ma:internalName="Group_x0020_Date">
      <xsd:simpleType>
        <xsd:restriction base="dms:DateTime"/>
      </xsd:simpleType>
    </xsd:element>
    <xsd:element name="Dossier_x0020_Number" ma:index="7" nillable="true" ma:displayName="Dossier Number" ma:internalName="Dossier_x0020_Number">
      <xsd:simpleType>
        <xsd:restriction base="dms:Text">
          <xsd:maxLength value="255"/>
        </xsd:restriction>
      </xsd:simpleType>
    </xsd:element>
    <xsd:element name="History_x0020_of_x0020_Remarks" ma:index="8" nillable="true" ma:displayName="History of Remarks" ma:internalName="History_x0020_of_x0020_Remarks">
      <xsd:simpleType>
        <xsd:restriction base="dms:Note">
          <xsd:maxLength value="255"/>
        </xsd:restriction>
      </xsd:simpleType>
    </xsd:element>
    <xsd:element name="Administrative" ma:index="9" nillable="true" ma:displayName="Administrative" ma:default="0" ma:internalName="Administrative">
      <xsd:simpleType>
        <xsd:restriction base="dms:Boolean"/>
      </xsd:simpleType>
    </xsd:element>
    <xsd:element name="Confidential1" ma:index="10" nillable="true" ma:displayName="Confidential" ma:default="0" ma:internalName="Confidential1">
      <xsd:simpleType>
        <xsd:restriction base="dms:Boolean"/>
      </xsd:simpleType>
    </xsd:element>
    <xsd:element name="Version_x0020_Published_x0020_To_x0020_Library" ma:index="11" nillable="true" ma:displayName="Version Published to Library" ma:internalName="Version_x0020_Published_x0020_To_x0020_Library">
      <xsd:simpleType>
        <xsd:restriction base="dms:Text">
          <xsd:maxLength value="255"/>
        </xsd:restriction>
      </xsd:simpleType>
    </xsd:element>
    <xsd:element name="Version_x0020_Published_x0020_to_x0020_Internet" ma:index="12" nillable="true" ma:displayName="Version Published to Internet" ma:internalName="Version_x0020_Published_x0020_to_x0020_Internet">
      <xsd:simpleType>
        <xsd:restriction base="dms:Text">
          <xsd:maxLength value="255"/>
        </xsd:restriction>
      </xsd:simpleType>
    </xsd:element>
    <xsd:element name="QuickPartDocumentId" ma:index="13" nillable="true" ma:displayName="Doc Id" ma:internalName="QuickPartDocumentId" ma:readOnly="false">
      <xsd:simpleType>
        <xsd:restriction base="dms:Text">
          <xsd:maxLength value="255"/>
        </xsd:restriction>
      </xsd:simpleType>
    </xsd:element>
    <xsd:element name="d4ec9b080060429989fa5f940ee3f852" ma:index="16" nillable="true" ma:taxonomy="true" ma:internalName="d4ec9b080060429989fa5f940ee3f852" ma:taxonomyFieldName="Service1" ma:displayName="Service" ma:readOnly="false" ma:default="" ma:fieldId="{d4ec9b08-0060-4299-89fa-5f940ee3f852}" ma:sspId="75b52628-4ae0-409d-b79e-6d0521b2c784" ma:termSetId="46b8dc2a-6372-4a7b-bdd4-6b0c5e787490" ma:anchorId="00000000-0000-0000-0000-000000000000" ma:open="false" ma:isKeyword="false">
      <xsd:complexType>
        <xsd:sequence>
          <xsd:element ref="pc:Terms" minOccurs="0" maxOccurs="1"/>
        </xsd:sequence>
      </xsd:complexType>
    </xsd:element>
    <xsd:element name="TaxCatchAll" ma:index="17" nillable="true" ma:displayName="Taxonomy Catch All Column" ma:hidden="true" ma:list="{aacb5312-317a-4e89-849f-bd5396de7844}" ma:internalName="TaxCatchAll" ma:showField="CatchAllData" ma:web="446dbfdb-00e9-481a-9d79-1855c65de329">
      <xsd:complexType>
        <xsd:complexContent>
          <xsd:extension base="dms:MultiChoiceLookup">
            <xsd:sequence>
              <xsd:element name="Value" type="dms:Lookup" maxOccurs="unbounded" minOccurs="0" nillable="true"/>
            </xsd:sequence>
          </xsd:extension>
        </xsd:complexContent>
      </xsd:complexType>
    </xsd:element>
    <xsd:element name="o3cf37d2a5d34fd7955003a053893e5e" ma:index="18" nillable="true" ma:taxonomy="true" ma:internalName="o3cf37d2a5d34fd7955003a053893e5e" ma:taxonomyFieldName="Languages" ma:displayName="Languages" ma:default="" ma:fieldId="{83cf37d2-a5d3-4fd7-9550-03a053893e5e}" ma:taxonomyMulti="true" ma:sspId="75b52628-4ae0-409d-b79e-6d0521b2c784" ma:termSetId="af6d6fcf-919d-4606-93f6-1f52cad124cb" ma:anchorId="00000000-0000-0000-0000-000000000000" ma:open="false" ma:isKeyword="false">
      <xsd:complexType>
        <xsd:sequence>
          <xsd:element ref="pc:Terms" minOccurs="0" maxOccurs="1"/>
        </xsd:sequence>
      </xsd:complexType>
    </xsd:element>
    <xsd:element name="_dlc_DocId" ma:index="20" nillable="true" ma:displayName="Waarde van de document-id" ma:description="De waarde van de document-id die aan dit item is toegewezen." ma:internalName="_dlc_DocId" ma:readOnly="true">
      <xsd:simpleType>
        <xsd:restriction base="dms:Text"/>
      </xsd:simpleType>
    </xsd:element>
    <xsd:element name="TaxCatchAllLabel" ma:index="23" nillable="true" ma:displayName="Taxonomy Catch All Column1" ma:hidden="true" ma:list="{aacb5312-317a-4e89-849f-bd5396de7844}" ma:internalName="TaxCatchAllLabel" ma:readOnly="true" ma:showField="CatchAllDataLabel" ma:web="446dbfdb-00e9-481a-9d79-1855c65de329">
      <xsd:complexType>
        <xsd:complexContent>
          <xsd:extension base="dms:MultiChoiceLookup">
            <xsd:sequence>
              <xsd:element name="Value" type="dms:Lookup" maxOccurs="unbounded" minOccurs="0" nillable="true"/>
            </xsd:sequence>
          </xsd:extension>
        </xsd:complexContent>
      </xsd:complexType>
    </xsd:element>
    <xsd:element name="ma0d6816d453412a898e0908e90b1a73" ma:index="24" nillable="true" ma:taxonomy="true" ma:internalName="ma0d6816d453412a898e0908e90b1a73" ma:taxonomyFieldName="Telecom_x0020_Document_x0020_Type" ma:displayName="Telecom Document Type" ma:default="" ma:fieldId="{6a0d6816-d453-412a-898e-0908e90b1a73}" ma:sspId="75b52628-4ae0-409d-b79e-6d0521b2c784" ma:termSetId="70a71869-97dc-44c4-809f-c82c1748fef0" ma:anchorId="00000000-0000-0000-0000-000000000000" ma:open="false" ma:isKeyword="false">
      <xsd:complexType>
        <xsd:sequence>
          <xsd:element ref="pc:Terms" minOccurs="0" maxOccurs="1"/>
        </xsd:sequence>
      </xsd:complexType>
    </xsd:element>
    <xsd:element name="_dlc_DocIdUrl" ma:index="25"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3"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9F8FF3-3CE3-4CA9-B1FD-FAFFD500C53E}">
  <ds:schemaRefs>
    <ds:schemaRef ds:uri="http://purl.org/dc/elements/1.1/"/>
    <ds:schemaRef ds:uri="http://schemas.openxmlformats.org/package/2006/metadata/core-properties"/>
    <ds:schemaRef ds:uri="http://www.w3.org/XML/1998/namespace"/>
    <ds:schemaRef ds:uri="http://purl.org/dc/terms/"/>
    <ds:schemaRef ds:uri="http://schemas.microsoft.com/office/2006/metadata/properties"/>
    <ds:schemaRef ds:uri="http://purl.org/dc/dcmitype/"/>
    <ds:schemaRef ds:uri="http://schemas.microsoft.com/office/2006/documentManagement/types"/>
    <ds:schemaRef ds:uri="http://schemas.microsoft.com/office/infopath/2007/PartnerControls"/>
    <ds:schemaRef ds:uri="2b4b6fc7-bde4-44a8-8bca-a78eb25a27e9"/>
  </ds:schemaRefs>
</ds:datastoreItem>
</file>

<file path=customXml/itemProps2.xml><?xml version="1.0" encoding="utf-8"?>
<ds:datastoreItem xmlns:ds="http://schemas.openxmlformats.org/officeDocument/2006/customXml" ds:itemID="{AAFB7C8A-F4A0-47D5-8673-44BD4C0636E5}">
  <ds:schemaRefs>
    <ds:schemaRef ds:uri="http://schemas.microsoft.com/sharepoint/v3/contenttype/forms"/>
  </ds:schemaRefs>
</ds:datastoreItem>
</file>

<file path=customXml/itemProps3.xml><?xml version="1.0" encoding="utf-8"?>
<ds:datastoreItem xmlns:ds="http://schemas.openxmlformats.org/officeDocument/2006/customXml" ds:itemID="{1EF10EF1-24C8-4721-A6B5-EFD2BAA26E60}">
  <ds:schemaRefs>
    <ds:schemaRef ds:uri="http://schemas.microsoft.com/office/2006/metadata/customXsn"/>
  </ds:schemaRefs>
</ds:datastoreItem>
</file>

<file path=customXml/itemProps4.xml><?xml version="1.0" encoding="utf-8"?>
<ds:datastoreItem xmlns:ds="http://schemas.openxmlformats.org/officeDocument/2006/customXml" ds:itemID="{FCC5B0C5-842B-4994-BFC4-2E21CE7E3EC2}">
  <ds:schemaRefs>
    <ds:schemaRef ds:uri="http://schemas.microsoft.com/sharepoint/events"/>
  </ds:schemaRefs>
</ds:datastoreItem>
</file>

<file path=customXml/itemProps5.xml><?xml version="1.0" encoding="utf-8"?>
<ds:datastoreItem xmlns:ds="http://schemas.openxmlformats.org/officeDocument/2006/customXml" ds:itemID="{595F2153-8315-4A31-879F-ED0023FE04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4b6fc7-bde4-44a8-8bca-a78eb25a27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S</vt:lpstr>
      <vt:lpstr>Values and minus percentages</vt:lpstr>
      <vt:lpstr>Wholesale tariffs - analog TV</vt:lpstr>
      <vt:lpstr>Wholesal tariffs - digital TV</vt:lpstr>
      <vt:lpstr>Wholesale tariffs - multiplay</vt:lpstr>
      <vt:lpstr>chosen.minus</vt:lpstr>
      <vt:lpstr>chosen.minus.TVanalogique</vt:lpstr>
      <vt:lpstr>chosen.minus.TVnumerique</vt:lpstr>
      <vt:lpstr>liste.minus</vt:lpstr>
      <vt:lpstr>VAT.rate</vt:lpstr>
    </vt:vector>
  </TitlesOfParts>
  <Manager>-</Manager>
  <Company>Analysys Mason Ltd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Wholesale price calculator - PUBLIC EN FINAL</dc:title>
  <dc:subject>-</dc:subject>
  <dc:creator>JOHANN ADJOVI</dc:creator>
  <cp:lastModifiedBy>Van Landeghem Tom</cp:lastModifiedBy>
  <cp:lastPrinted>2010-04-20T10:31:05Z</cp:lastPrinted>
  <dcterms:created xsi:type="dcterms:W3CDTF">1997-01-23T15:12:23Z</dcterms:created>
  <dcterms:modified xsi:type="dcterms:W3CDTF">2015-05-27T11:42:23Z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0x0101004FA21861B553C741A1AA3F2E5831C1CC050A02009F0EADBAC43CDC44A6BB8D97CFBD6481</vt:lpwstr>
  </property>
  <property fmtid="{D5CDD505-2E9C-101B-9397-08002B2CF9AE}" pid="3" name="_dlc_DocIdItemGuid">
    <vt:lpwstr>5c73c942-dd06-47f0-9fce-ab99ec2a982e</vt:lpwstr>
  </property>
  <property fmtid="{D5CDD505-2E9C-101B-9397-08002B2CF9AE}" pid="4" name="Service1">
    <vt:lpwstr>77;#Telecom en Media|0d70e459-47d9-475b-bd99-b3a781cfdf71</vt:lpwstr>
  </property>
  <property fmtid="{D5CDD505-2E9C-101B-9397-08002B2CF9AE}" pid="5" name="Languages">
    <vt:lpwstr/>
  </property>
  <property fmtid="{D5CDD505-2E9C-101B-9397-08002B2CF9AE}" pid="6" name="Telecom_x0020_Document_x0020_Type">
    <vt:lpwstr>119;#Decisions|866fd883-9628-4942-8eec-786d60a02172</vt:lpwstr>
  </property>
  <property fmtid="{D5CDD505-2E9C-101B-9397-08002B2CF9AE}" pid="7" name="Telecom Document Type">
    <vt:lpwstr>119</vt:lpwstr>
  </property>
</Properties>
</file>